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mc:AlternateContent xmlns:mc="http://schemas.openxmlformats.org/markup-compatibility/2006">
    <mc:Choice Requires="x15">
      <x15ac:absPath xmlns:x15ac="http://schemas.microsoft.com/office/spreadsheetml/2010/11/ac" url="/Users/jaime/Downloads/"/>
    </mc:Choice>
  </mc:AlternateContent>
  <xr:revisionPtr revIDLastSave="0" documentId="13_ncr:1_{572169AE-4C6C-B949-9CE9-8BEC1DE315A6}" xr6:coauthVersionLast="47" xr6:coauthVersionMax="47" xr10:uidLastSave="{00000000-0000-0000-0000-000000000000}"/>
  <bookViews>
    <workbookView xWindow="660" yWindow="760" windowWidth="30240" windowHeight="17640" xr2:uid="{00000000-000D-0000-FFFF-FFFF00000000}"/>
  </bookViews>
  <sheets>
    <sheet name="Read Me" sheetId="1" r:id="rId1"/>
    <sheet name="Inputs" sheetId="2" r:id="rId2"/>
    <sheet name="Comparison" sheetId="3" r:id="rId3"/>
    <sheet name="Amortization"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27" i="4" l="1"/>
  <c r="I1027" i="4" s="1"/>
  <c r="C1027" i="4"/>
  <c r="E687" i="4"/>
  <c r="M687" i="4" s="1"/>
  <c r="C687" i="4"/>
  <c r="E347" i="4"/>
  <c r="M347" i="4" s="1"/>
  <c r="C347" i="4"/>
  <c r="E7" i="4"/>
  <c r="C7" i="4"/>
  <c r="B4" i="4"/>
  <c r="B17" i="3"/>
  <c r="B16" i="3"/>
  <c r="E6" i="3"/>
  <c r="D6" i="3"/>
  <c r="C6" i="3"/>
  <c r="B6" i="3"/>
  <c r="B5" i="3"/>
  <c r="E5" i="3" s="1"/>
  <c r="A2" i="3"/>
  <c r="E13" i="2"/>
  <c r="E12" i="2"/>
  <c r="E11" i="2"/>
  <c r="E10" i="2"/>
  <c r="E9" i="2"/>
  <c r="E8" i="2"/>
  <c r="E7" i="2"/>
  <c r="E6" i="2"/>
  <c r="E5" i="2"/>
  <c r="A1027" i="4" l="1"/>
  <c r="D7" i="4"/>
  <c r="H7" i="4" s="1"/>
  <c r="F7" i="4" s="1"/>
  <c r="B1027" i="4"/>
  <c r="A687" i="4"/>
  <c r="A347" i="4"/>
  <c r="K1027" i="4"/>
  <c r="E1028" i="4" s="1"/>
  <c r="C1028" i="4" s="1"/>
  <c r="C5" i="3"/>
  <c r="B347" i="4"/>
  <c r="L1027" i="4"/>
  <c r="B687" i="4"/>
  <c r="D687" i="4"/>
  <c r="H687" i="4" s="1"/>
  <c r="D5" i="3"/>
  <c r="D347" i="4"/>
  <c r="H347" i="4" s="1"/>
  <c r="B7" i="4"/>
  <c r="M7" i="4"/>
  <c r="A7" i="4"/>
  <c r="D1027" i="4"/>
  <c r="H1027" i="4" s="1"/>
  <c r="F1027" i="4" s="1"/>
  <c r="N1027" i="4"/>
  <c r="F347" i="4" l="1"/>
  <c r="G347" i="4" s="1"/>
  <c r="L347" i="4" s="1"/>
  <c r="B1028" i="4"/>
  <c r="F687" i="4"/>
  <c r="G687" i="4" s="1"/>
  <c r="J687" i="4" s="1"/>
  <c r="A1028" i="4"/>
  <c r="D1028" i="4"/>
  <c r="H1028" i="4" s="1"/>
  <c r="M1028" i="4"/>
  <c r="G1027" i="4"/>
  <c r="O1027" i="4" s="1"/>
  <c r="G7" i="4"/>
  <c r="I7" i="4" s="1"/>
  <c r="J347" i="4" l="1"/>
  <c r="J7" i="4"/>
  <c r="M1027" i="4"/>
  <c r="J1027" i="4"/>
  <c r="O347" i="4"/>
  <c r="L7" i="4"/>
  <c r="I347" i="4"/>
  <c r="K347" i="4" s="1"/>
  <c r="K7" i="4"/>
  <c r="L687" i="4"/>
  <c r="O7" i="4"/>
  <c r="F1028" i="4"/>
  <c r="O687" i="4"/>
  <c r="I687" i="4"/>
  <c r="K687" i="4" l="1"/>
  <c r="E348" i="4"/>
  <c r="N347" i="4"/>
  <c r="E8" i="4"/>
  <c r="N7" i="4"/>
  <c r="G1028" i="4"/>
  <c r="L1028" i="4" s="1"/>
  <c r="I1028" i="4" s="1"/>
  <c r="M348" i="4" l="1"/>
  <c r="A348" i="4"/>
  <c r="C348" i="4"/>
  <c r="D348" i="4" s="1"/>
  <c r="H348" i="4" s="1"/>
  <c r="B348" i="4"/>
  <c r="J1028" i="4"/>
  <c r="K1028" i="4"/>
  <c r="B8" i="4"/>
  <c r="A8" i="4"/>
  <c r="M8" i="4"/>
  <c r="C8" i="4"/>
  <c r="D8" i="4" s="1"/>
  <c r="H8" i="4" s="1"/>
  <c r="O1028" i="4"/>
  <c r="E688" i="4"/>
  <c r="N687" i="4"/>
  <c r="F8" i="4" l="1"/>
  <c r="F348" i="4"/>
  <c r="G348" i="4" s="1"/>
  <c r="M688" i="4"/>
  <c r="C688" i="4"/>
  <c r="D688" i="4" s="1"/>
  <c r="H688" i="4" s="1"/>
  <c r="B688" i="4"/>
  <c r="A688" i="4"/>
  <c r="E1029" i="4"/>
  <c r="N1028" i="4"/>
  <c r="F688" i="4" l="1"/>
  <c r="B1029" i="4"/>
  <c r="N1029" i="4"/>
  <c r="L1029" i="4"/>
  <c r="K1029" i="4"/>
  <c r="E1030" i="4" s="1"/>
  <c r="I1029" i="4"/>
  <c r="C1029" i="4"/>
  <c r="D1029" i="4" s="1"/>
  <c r="H1029" i="4" s="1"/>
  <c r="A1029" i="4"/>
  <c r="G8" i="4"/>
  <c r="L8" i="4" s="1"/>
  <c r="L348" i="4"/>
  <c r="I348" i="4"/>
  <c r="J348" i="4"/>
  <c r="O348" i="4"/>
  <c r="F1029" i="4" l="1"/>
  <c r="G1029" i="4" s="1"/>
  <c r="A1030" i="4"/>
  <c r="M1030" i="4"/>
  <c r="B1030" i="4"/>
  <c r="C1030" i="4"/>
  <c r="D1030" i="4" s="1"/>
  <c r="H1030" i="4" s="1"/>
  <c r="O8" i="4"/>
  <c r="J8" i="4"/>
  <c r="I8" i="4"/>
  <c r="G688" i="4"/>
  <c r="L688" i="4" s="1"/>
  <c r="K348" i="4"/>
  <c r="J688" i="4" l="1"/>
  <c r="K8" i="4"/>
  <c r="O688" i="4"/>
  <c r="I688" i="4"/>
  <c r="E349" i="4"/>
  <c r="N348" i="4"/>
  <c r="M1029" i="4"/>
  <c r="F1030" i="4" s="1"/>
  <c r="J1029" i="4"/>
  <c r="O1029" i="4"/>
  <c r="E9" i="4" l="1"/>
  <c r="N8" i="4"/>
  <c r="M349" i="4"/>
  <c r="C349" i="4"/>
  <c r="D349" i="4" s="1"/>
  <c r="H349" i="4" s="1"/>
  <c r="A349" i="4"/>
  <c r="B349" i="4"/>
  <c r="K688" i="4"/>
  <c r="G1030" i="4"/>
  <c r="J1030" i="4" s="1"/>
  <c r="L1030" i="4" l="1"/>
  <c r="I1030" i="4" s="1"/>
  <c r="F349" i="4"/>
  <c r="O1030" i="4"/>
  <c r="E689" i="4"/>
  <c r="N688" i="4"/>
  <c r="K1030" i="4"/>
  <c r="A9" i="4"/>
  <c r="M9" i="4"/>
  <c r="C9" i="4"/>
  <c r="D9" i="4" s="1"/>
  <c r="H9" i="4" s="1"/>
  <c r="B9" i="4"/>
  <c r="F9" i="4" l="1"/>
  <c r="E1031" i="4"/>
  <c r="N1030" i="4"/>
  <c r="B689" i="4"/>
  <c r="A689" i="4"/>
  <c r="M689" i="4"/>
  <c r="C689" i="4"/>
  <c r="D689" i="4" s="1"/>
  <c r="H689" i="4" s="1"/>
  <c r="G349" i="4"/>
  <c r="O349" i="4" s="1"/>
  <c r="F689" i="4" l="1"/>
  <c r="J349" i="4"/>
  <c r="L349" i="4"/>
  <c r="I349" i="4"/>
  <c r="N1031" i="4"/>
  <c r="A1031" i="4"/>
  <c r="C1031" i="4"/>
  <c r="D1031" i="4" s="1"/>
  <c r="H1031" i="4" s="1"/>
  <c r="B1031" i="4"/>
  <c r="L1031" i="4"/>
  <c r="K1031" i="4"/>
  <c r="E1032" i="4" s="1"/>
  <c r="I1031" i="4"/>
  <c r="G9" i="4"/>
  <c r="O9" i="4" s="1"/>
  <c r="L9" i="4" l="1"/>
  <c r="J9" i="4"/>
  <c r="I9" i="4"/>
  <c r="F1031" i="4"/>
  <c r="M1032" i="4"/>
  <c r="A1032" i="4"/>
  <c r="C1032" i="4"/>
  <c r="D1032" i="4" s="1"/>
  <c r="H1032" i="4" s="1"/>
  <c r="B1032" i="4"/>
  <c r="K9" i="4"/>
  <c r="K349" i="4"/>
  <c r="G689" i="4"/>
  <c r="O689" i="4" s="1"/>
  <c r="L689" i="4" l="1"/>
  <c r="J689" i="4"/>
  <c r="I689" i="4"/>
  <c r="K689" i="4" s="1"/>
  <c r="G1031" i="4"/>
  <c r="J1031" i="4" s="1"/>
  <c r="E10" i="4"/>
  <c r="N9" i="4"/>
  <c r="E350" i="4"/>
  <c r="N349" i="4"/>
  <c r="E690" i="4" l="1"/>
  <c r="N689" i="4"/>
  <c r="O1031" i="4"/>
  <c r="M1031" i="4"/>
  <c r="M10" i="4"/>
  <c r="C10" i="4"/>
  <c r="D10" i="4" s="1"/>
  <c r="H10" i="4" s="1"/>
  <c r="A10" i="4"/>
  <c r="B10" i="4"/>
  <c r="M350" i="4"/>
  <c r="C350" i="4"/>
  <c r="D350" i="4" s="1"/>
  <c r="H350" i="4" s="1"/>
  <c r="B350" i="4"/>
  <c r="A350" i="4"/>
  <c r="F350" i="4" l="1"/>
  <c r="F10" i="4"/>
  <c r="G10" i="4" s="1"/>
  <c r="F1032" i="4"/>
  <c r="C690" i="4"/>
  <c r="D690" i="4" s="1"/>
  <c r="H690" i="4" s="1"/>
  <c r="B690" i="4"/>
  <c r="A690" i="4"/>
  <c r="M690" i="4"/>
  <c r="F690" i="4" l="1"/>
  <c r="O10" i="4"/>
  <c r="L10" i="4"/>
  <c r="J10" i="4"/>
  <c r="I10" i="4"/>
  <c r="G1032" i="4"/>
  <c r="J1032" i="4" s="1"/>
  <c r="G350" i="4"/>
  <c r="I350" i="4" s="1"/>
  <c r="L350" i="4" l="1"/>
  <c r="J350" i="4"/>
  <c r="O350" i="4"/>
  <c r="K350" i="4"/>
  <c r="K10" i="4"/>
  <c r="L1032" i="4"/>
  <c r="I1032" i="4" s="1"/>
  <c r="K1032" i="4" s="1"/>
  <c r="O1032" i="4"/>
  <c r="G690" i="4"/>
  <c r="J690" i="4" s="1"/>
  <c r="E1033" i="4" l="1"/>
  <c r="N1032" i="4"/>
  <c r="I690" i="4"/>
  <c r="L690" i="4"/>
  <c r="E11" i="4"/>
  <c r="N10" i="4"/>
  <c r="O690" i="4"/>
  <c r="E351" i="4"/>
  <c r="N350" i="4"/>
  <c r="M11" i="4" l="1"/>
  <c r="B11" i="4"/>
  <c r="C11" i="4"/>
  <c r="D11" i="4" s="1"/>
  <c r="H11" i="4" s="1"/>
  <c r="A11" i="4"/>
  <c r="A351" i="4"/>
  <c r="M351" i="4"/>
  <c r="C351" i="4"/>
  <c r="D351" i="4" s="1"/>
  <c r="H351" i="4" s="1"/>
  <c r="B351" i="4"/>
  <c r="K690" i="4"/>
  <c r="L1033" i="4"/>
  <c r="A1033" i="4"/>
  <c r="N1033" i="4"/>
  <c r="K1033" i="4"/>
  <c r="E1034" i="4" s="1"/>
  <c r="I1033" i="4"/>
  <c r="C1033" i="4"/>
  <c r="D1033" i="4" s="1"/>
  <c r="H1033" i="4" s="1"/>
  <c r="B1033" i="4"/>
  <c r="F11" i="4" l="1"/>
  <c r="F351" i="4"/>
  <c r="G351" i="4" s="1"/>
  <c r="F1033" i="4"/>
  <c r="A1034" i="4"/>
  <c r="M1034" i="4"/>
  <c r="B1034" i="4"/>
  <c r="C1034" i="4"/>
  <c r="D1034" i="4" s="1"/>
  <c r="H1034" i="4" s="1"/>
  <c r="E691" i="4"/>
  <c r="N690" i="4"/>
  <c r="G1033" i="4" l="1"/>
  <c r="O1033" i="4" s="1"/>
  <c r="O351" i="4"/>
  <c r="L351" i="4"/>
  <c r="J351" i="4"/>
  <c r="I351" i="4"/>
  <c r="M691" i="4"/>
  <c r="C691" i="4"/>
  <c r="D691" i="4" s="1"/>
  <c r="H691" i="4" s="1"/>
  <c r="B691" i="4"/>
  <c r="A691" i="4"/>
  <c r="G11" i="4"/>
  <c r="L11" i="4" s="1"/>
  <c r="F691" i="4" l="1"/>
  <c r="K351" i="4"/>
  <c r="M1033" i="4"/>
  <c r="J11" i="4"/>
  <c r="J1033" i="4"/>
  <c r="O11" i="4"/>
  <c r="I11" i="4"/>
  <c r="K11" i="4" l="1"/>
  <c r="F1034" i="4"/>
  <c r="E352" i="4"/>
  <c r="N351" i="4"/>
  <c r="G691" i="4"/>
  <c r="J691" i="4" s="1"/>
  <c r="L691" i="4" l="1"/>
  <c r="I691" i="4"/>
  <c r="O691" i="4"/>
  <c r="B352" i="4"/>
  <c r="A352" i="4"/>
  <c r="M352" i="4"/>
  <c r="C352" i="4"/>
  <c r="D352" i="4" s="1"/>
  <c r="H352" i="4" s="1"/>
  <c r="G1034" i="4"/>
  <c r="O1034" i="4" s="1"/>
  <c r="E12" i="4"/>
  <c r="N11" i="4"/>
  <c r="F352" i="4" l="1"/>
  <c r="M12" i="4"/>
  <c r="C12" i="4"/>
  <c r="D12" i="4" s="1"/>
  <c r="H12" i="4" s="1"/>
  <c r="F12" i="4" s="1"/>
  <c r="B12" i="4"/>
  <c r="A12" i="4"/>
  <c r="K691" i="4"/>
  <c r="L1034" i="4"/>
  <c r="I1034" i="4" s="1"/>
  <c r="K1034" i="4" s="1"/>
  <c r="J1034" i="4"/>
  <c r="G12" i="4" l="1"/>
  <c r="I12" i="4" s="1"/>
  <c r="K12" i="4" s="1"/>
  <c r="E1035" i="4"/>
  <c r="N1034" i="4"/>
  <c r="E692" i="4"/>
  <c r="N691" i="4"/>
  <c r="G352" i="4"/>
  <c r="J352" i="4" s="1"/>
  <c r="E13" i="4" l="1"/>
  <c r="N12" i="4"/>
  <c r="L352" i="4"/>
  <c r="M692" i="4"/>
  <c r="B692" i="4"/>
  <c r="C692" i="4"/>
  <c r="D692" i="4" s="1"/>
  <c r="H692" i="4" s="1"/>
  <c r="A692" i="4"/>
  <c r="A1035" i="4"/>
  <c r="N1035" i="4"/>
  <c r="C1035" i="4"/>
  <c r="B1035" i="4"/>
  <c r="L1035" i="4"/>
  <c r="K1035" i="4"/>
  <c r="E1036" i="4" s="1"/>
  <c r="D1035" i="4"/>
  <c r="H1035" i="4" s="1"/>
  <c r="I1035" i="4"/>
  <c r="O352" i="4"/>
  <c r="I352" i="4"/>
  <c r="K352" i="4" s="1"/>
  <c r="J12" i="4"/>
  <c r="O12" i="4"/>
  <c r="L12" i="4"/>
  <c r="F1035" i="4" l="1"/>
  <c r="F692" i="4"/>
  <c r="G692" i="4" s="1"/>
  <c r="A1036" i="4"/>
  <c r="B1036" i="4"/>
  <c r="M1036" i="4"/>
  <c r="C1036" i="4"/>
  <c r="D1036" i="4" s="1"/>
  <c r="H1036" i="4" s="1"/>
  <c r="E353" i="4"/>
  <c r="N352" i="4"/>
  <c r="A13" i="4"/>
  <c r="M13" i="4"/>
  <c r="C13" i="4"/>
  <c r="D13" i="4" s="1"/>
  <c r="H13" i="4" s="1"/>
  <c r="B13" i="4"/>
  <c r="F13" i="4" l="1"/>
  <c r="G13" i="4" s="1"/>
  <c r="L692" i="4"/>
  <c r="J692" i="4"/>
  <c r="O692" i="4"/>
  <c r="I692" i="4"/>
  <c r="K692" i="4" s="1"/>
  <c r="C353" i="4"/>
  <c r="D353" i="4" s="1"/>
  <c r="H353" i="4" s="1"/>
  <c r="B353" i="4"/>
  <c r="A353" i="4"/>
  <c r="M353" i="4"/>
  <c r="G1035" i="4"/>
  <c r="J1035" i="4" s="1"/>
  <c r="F353" i="4" l="1"/>
  <c r="M1035" i="4"/>
  <c r="O1035" i="4"/>
  <c r="E693" i="4"/>
  <c r="N692" i="4"/>
  <c r="L13" i="4"/>
  <c r="I13" i="4"/>
  <c r="K13" i="4" s="1"/>
  <c r="J13" i="4"/>
  <c r="O13" i="4"/>
  <c r="M693" i="4" l="1"/>
  <c r="C693" i="4"/>
  <c r="D693" i="4" s="1"/>
  <c r="H693" i="4" s="1"/>
  <c r="B693" i="4"/>
  <c r="A693" i="4"/>
  <c r="E14" i="4"/>
  <c r="N13" i="4"/>
  <c r="F1036" i="4"/>
  <c r="G353" i="4"/>
  <c r="O353" i="4" s="1"/>
  <c r="F693" i="4" l="1"/>
  <c r="I353" i="4"/>
  <c r="K353" i="4" s="1"/>
  <c r="J353" i="4"/>
  <c r="L353" i="4"/>
  <c r="G1036" i="4"/>
  <c r="J1036" i="4" s="1"/>
  <c r="C14" i="4"/>
  <c r="D14" i="4" s="1"/>
  <c r="H14" i="4" s="1"/>
  <c r="B14" i="4"/>
  <c r="A14" i="4"/>
  <c r="M14" i="4"/>
  <c r="F14" i="4" l="1"/>
  <c r="G14" i="4" s="1"/>
  <c r="L1036" i="4"/>
  <c r="I1036" i="4" s="1"/>
  <c r="K1036" i="4" s="1"/>
  <c r="O1036" i="4"/>
  <c r="E354" i="4"/>
  <c r="N353" i="4"/>
  <c r="G693" i="4"/>
  <c r="I693" i="4" s="1"/>
  <c r="K693" i="4" s="1"/>
  <c r="E694" i="4" l="1"/>
  <c r="N693" i="4"/>
  <c r="L693" i="4"/>
  <c r="O693" i="4"/>
  <c r="C354" i="4"/>
  <c r="D354" i="4" s="1"/>
  <c r="H354" i="4" s="1"/>
  <c r="B354" i="4"/>
  <c r="A354" i="4"/>
  <c r="M354" i="4"/>
  <c r="J693" i="4"/>
  <c r="E1037" i="4"/>
  <c r="N1036" i="4"/>
  <c r="I14" i="4"/>
  <c r="K14" i="4" s="1"/>
  <c r="L14" i="4"/>
  <c r="O14" i="4"/>
  <c r="J14" i="4"/>
  <c r="F354" i="4" l="1"/>
  <c r="E15" i="4"/>
  <c r="N14" i="4"/>
  <c r="A1037" i="4"/>
  <c r="N1037" i="4"/>
  <c r="I1037" i="4"/>
  <c r="C1037" i="4"/>
  <c r="D1037" i="4" s="1"/>
  <c r="H1037" i="4" s="1"/>
  <c r="B1037" i="4"/>
  <c r="L1037" i="4"/>
  <c r="K1037" i="4"/>
  <c r="E1038" i="4" s="1"/>
  <c r="M694" i="4"/>
  <c r="C694" i="4"/>
  <c r="D694" i="4" s="1"/>
  <c r="H694" i="4" s="1"/>
  <c r="B694" i="4"/>
  <c r="A694" i="4"/>
  <c r="F694" i="4" l="1"/>
  <c r="F1037" i="4"/>
  <c r="A1038" i="4"/>
  <c r="M1038" i="4"/>
  <c r="C1038" i="4"/>
  <c r="D1038" i="4" s="1"/>
  <c r="H1038" i="4" s="1"/>
  <c r="B1038" i="4"/>
  <c r="C15" i="4"/>
  <c r="D15" i="4" s="1"/>
  <c r="H15" i="4" s="1"/>
  <c r="B15" i="4"/>
  <c r="M15" i="4"/>
  <c r="A15" i="4"/>
  <c r="G354" i="4"/>
  <c r="J354" i="4" s="1"/>
  <c r="F15" i="4" l="1"/>
  <c r="G15" i="4" s="1"/>
  <c r="O354" i="4"/>
  <c r="L354" i="4"/>
  <c r="I354" i="4"/>
  <c r="K354" i="4" s="1"/>
  <c r="G1037" i="4"/>
  <c r="O1037" i="4" s="1"/>
  <c r="G694" i="4"/>
  <c r="L694" i="4" s="1"/>
  <c r="O694" i="4" l="1"/>
  <c r="J694" i="4"/>
  <c r="J1037" i="4"/>
  <c r="M1037" i="4"/>
  <c r="I694" i="4"/>
  <c r="K694" i="4" s="1"/>
  <c r="E695" i="4" s="1"/>
  <c r="E355" i="4"/>
  <c r="N354" i="4"/>
  <c r="F1038" i="4"/>
  <c r="L15" i="4"/>
  <c r="J15" i="4"/>
  <c r="I15" i="4"/>
  <c r="K15" i="4" s="1"/>
  <c r="O15" i="4"/>
  <c r="N694" i="4" l="1"/>
  <c r="E16" i="4"/>
  <c r="N15" i="4"/>
  <c r="G1038" i="4"/>
  <c r="O1038" i="4" s="1"/>
  <c r="B355" i="4"/>
  <c r="C355" i="4"/>
  <c r="D355" i="4" s="1"/>
  <c r="H355" i="4" s="1"/>
  <c r="A355" i="4"/>
  <c r="M355" i="4"/>
  <c r="M695" i="4"/>
  <c r="C695" i="4"/>
  <c r="D695" i="4" s="1"/>
  <c r="H695" i="4" s="1"/>
  <c r="B695" i="4"/>
  <c r="A695" i="4"/>
  <c r="F695" i="4" l="1"/>
  <c r="F355" i="4"/>
  <c r="G355" i="4" s="1"/>
  <c r="L1038" i="4"/>
  <c r="I1038" i="4" s="1"/>
  <c r="K1038" i="4" s="1"/>
  <c r="J1038" i="4"/>
  <c r="C16" i="4"/>
  <c r="D16" i="4" s="1"/>
  <c r="H16" i="4" s="1"/>
  <c r="B16" i="4"/>
  <c r="A16" i="4"/>
  <c r="M16" i="4"/>
  <c r="F16" i="4" l="1"/>
  <c r="G16" i="4" s="1"/>
  <c r="E1039" i="4"/>
  <c r="N1038" i="4"/>
  <c r="L355" i="4"/>
  <c r="I355" i="4"/>
  <c r="K355" i="4" s="1"/>
  <c r="O355" i="4"/>
  <c r="J355" i="4"/>
  <c r="G695" i="4"/>
  <c r="L695" i="4" s="1"/>
  <c r="I695" i="4" l="1"/>
  <c r="K695" i="4" s="1"/>
  <c r="O695" i="4"/>
  <c r="J695" i="4"/>
  <c r="E356" i="4"/>
  <c r="N355" i="4"/>
  <c r="A1039" i="4"/>
  <c r="N1039" i="4"/>
  <c r="L1039" i="4"/>
  <c r="K1039" i="4"/>
  <c r="E1040" i="4" s="1"/>
  <c r="I1039" i="4"/>
  <c r="B1039" i="4"/>
  <c r="C1039" i="4"/>
  <c r="D1039" i="4" s="1"/>
  <c r="H1039" i="4" s="1"/>
  <c r="L16" i="4"/>
  <c r="J16" i="4"/>
  <c r="I16" i="4"/>
  <c r="K16" i="4" s="1"/>
  <c r="O16" i="4"/>
  <c r="F1039" i="4" l="1"/>
  <c r="A1040" i="4"/>
  <c r="C1040" i="4"/>
  <c r="D1040" i="4" s="1"/>
  <c r="H1040" i="4" s="1"/>
  <c r="B1040" i="4"/>
  <c r="M1040" i="4"/>
  <c r="E17" i="4"/>
  <c r="N16" i="4"/>
  <c r="A356" i="4"/>
  <c r="C356" i="4"/>
  <c r="D356" i="4" s="1"/>
  <c r="H356" i="4" s="1"/>
  <c r="M356" i="4"/>
  <c r="B356" i="4"/>
  <c r="E696" i="4"/>
  <c r="N695" i="4"/>
  <c r="F356" i="4" l="1"/>
  <c r="B696" i="4"/>
  <c r="A696" i="4"/>
  <c r="M696" i="4"/>
  <c r="C696" i="4"/>
  <c r="D696" i="4" s="1"/>
  <c r="H696" i="4" s="1"/>
  <c r="C17" i="4"/>
  <c r="D17" i="4" s="1"/>
  <c r="H17" i="4" s="1"/>
  <c r="B17" i="4"/>
  <c r="A17" i="4"/>
  <c r="M17" i="4"/>
  <c r="G1039" i="4"/>
  <c r="O1039" i="4" s="1"/>
  <c r="F17" i="4" l="1"/>
  <c r="F696" i="4"/>
  <c r="J1039" i="4"/>
  <c r="M1039" i="4"/>
  <c r="G356" i="4"/>
  <c r="L356" i="4" s="1"/>
  <c r="J356" i="4" l="1"/>
  <c r="O356" i="4"/>
  <c r="I356" i="4"/>
  <c r="K356" i="4" s="1"/>
  <c r="F1040" i="4"/>
  <c r="G696" i="4"/>
  <c r="O696" i="4" s="1"/>
  <c r="G17" i="4"/>
  <c r="L17" i="4" s="1"/>
  <c r="O17" i="4" l="1"/>
  <c r="I17" i="4"/>
  <c r="K17" i="4" s="1"/>
  <c r="J17" i="4"/>
  <c r="E357" i="4"/>
  <c r="N356" i="4"/>
  <c r="J696" i="4"/>
  <c r="I696" i="4"/>
  <c r="K696" i="4" s="1"/>
  <c r="E18" i="4"/>
  <c r="N17" i="4"/>
  <c r="G1040" i="4"/>
  <c r="J1040" i="4" s="1"/>
  <c r="L696" i="4"/>
  <c r="L1040" i="4" l="1"/>
  <c r="I1040" i="4" s="1"/>
  <c r="K1040" i="4" s="1"/>
  <c r="E697" i="4"/>
  <c r="N696" i="4"/>
  <c r="C18" i="4"/>
  <c r="D18" i="4" s="1"/>
  <c r="H18" i="4" s="1"/>
  <c r="B18" i="4"/>
  <c r="M18" i="4"/>
  <c r="A18" i="4"/>
  <c r="C357" i="4"/>
  <c r="D357" i="4" s="1"/>
  <c r="H357" i="4" s="1"/>
  <c r="M357" i="4"/>
  <c r="B357" i="4"/>
  <c r="A357" i="4"/>
  <c r="O1040" i="4"/>
  <c r="F18" i="4" l="1"/>
  <c r="C697" i="4"/>
  <c r="A697" i="4"/>
  <c r="D697" i="4"/>
  <c r="H697" i="4" s="1"/>
  <c r="B697" i="4"/>
  <c r="M697" i="4"/>
  <c r="F357" i="4"/>
  <c r="E1041" i="4"/>
  <c r="N1040" i="4"/>
  <c r="F697" i="4" l="1"/>
  <c r="A1041" i="4"/>
  <c r="N1041" i="4"/>
  <c r="C1041" i="4"/>
  <c r="D1041" i="4" s="1"/>
  <c r="H1041" i="4" s="1"/>
  <c r="B1041" i="4"/>
  <c r="K1041" i="4"/>
  <c r="E1042" i="4" s="1"/>
  <c r="I1041" i="4"/>
  <c r="L1041" i="4"/>
  <c r="G18" i="4"/>
  <c r="L18" i="4" s="1"/>
  <c r="G357" i="4"/>
  <c r="O357" i="4" s="1"/>
  <c r="F1041" i="4" l="1"/>
  <c r="J18" i="4"/>
  <c r="I18" i="4"/>
  <c r="K18" i="4" s="1"/>
  <c r="O18" i="4"/>
  <c r="L357" i="4"/>
  <c r="C1042" i="4"/>
  <c r="D1042" i="4" s="1"/>
  <c r="H1042" i="4" s="1"/>
  <c r="A1042" i="4"/>
  <c r="M1042" i="4"/>
  <c r="B1042" i="4"/>
  <c r="I357" i="4"/>
  <c r="K357" i="4" s="1"/>
  <c r="J357" i="4"/>
  <c r="G697" i="4"/>
  <c r="L697" i="4" s="1"/>
  <c r="J697" i="4" l="1"/>
  <c r="O697" i="4"/>
  <c r="I697" i="4"/>
  <c r="K697" i="4" s="1"/>
  <c r="E19" i="4"/>
  <c r="N18" i="4"/>
  <c r="E358" i="4"/>
  <c r="N357" i="4"/>
  <c r="G1041" i="4"/>
  <c r="M1041" i="4" s="1"/>
  <c r="F1042" i="4" l="1"/>
  <c r="G1042" i="4" s="1"/>
  <c r="J1041" i="4"/>
  <c r="B19" i="4"/>
  <c r="M19" i="4"/>
  <c r="C19" i="4"/>
  <c r="D19" i="4" s="1"/>
  <c r="H19" i="4" s="1"/>
  <c r="F19" i="4" s="1"/>
  <c r="A19" i="4"/>
  <c r="O1041" i="4"/>
  <c r="M358" i="4"/>
  <c r="C358" i="4"/>
  <c r="D358" i="4" s="1"/>
  <c r="H358" i="4" s="1"/>
  <c r="B358" i="4"/>
  <c r="A358" i="4"/>
  <c r="E698" i="4"/>
  <c r="N697" i="4"/>
  <c r="F358" i="4" l="1"/>
  <c r="G19" i="4"/>
  <c r="I19" i="4" s="1"/>
  <c r="K19" i="4" s="1"/>
  <c r="B698" i="4"/>
  <c r="C698" i="4"/>
  <c r="D698" i="4" s="1"/>
  <c r="H698" i="4" s="1"/>
  <c r="A698" i="4"/>
  <c r="M698" i="4"/>
  <c r="O1042" i="4"/>
  <c r="J1042" i="4"/>
  <c r="L1042" i="4"/>
  <c r="I1042" i="4" s="1"/>
  <c r="K1042" i="4" s="1"/>
  <c r="F698" i="4" l="1"/>
  <c r="G698" i="4" s="1"/>
  <c r="E20" i="4"/>
  <c r="N19" i="4"/>
  <c r="E1043" i="4"/>
  <c r="N1042" i="4"/>
  <c r="J19" i="4"/>
  <c r="O19" i="4"/>
  <c r="L19" i="4"/>
  <c r="G358" i="4"/>
  <c r="J358" i="4" s="1"/>
  <c r="L358" i="4" l="1"/>
  <c r="O358" i="4"/>
  <c r="I358" i="4"/>
  <c r="K358" i="4" s="1"/>
  <c r="C20" i="4"/>
  <c r="D20" i="4" s="1"/>
  <c r="H20" i="4" s="1"/>
  <c r="A20" i="4"/>
  <c r="B20" i="4"/>
  <c r="M20" i="4"/>
  <c r="B1043" i="4"/>
  <c r="A1043" i="4"/>
  <c r="N1043" i="4"/>
  <c r="L1043" i="4"/>
  <c r="K1043" i="4"/>
  <c r="E1044" i="4" s="1"/>
  <c r="I1043" i="4"/>
  <c r="C1043" i="4"/>
  <c r="D1043" i="4" s="1"/>
  <c r="H1043" i="4" s="1"/>
  <c r="J698" i="4"/>
  <c r="I698" i="4"/>
  <c r="K698" i="4" s="1"/>
  <c r="L698" i="4"/>
  <c r="O698" i="4"/>
  <c r="F1043" i="4" l="1"/>
  <c r="G1043" i="4" s="1"/>
  <c r="F20" i="4"/>
  <c r="A1044" i="4"/>
  <c r="B1044" i="4"/>
  <c r="C1044" i="4"/>
  <c r="D1044" i="4" s="1"/>
  <c r="H1044" i="4" s="1"/>
  <c r="M1044" i="4"/>
  <c r="E699" i="4"/>
  <c r="N698" i="4"/>
  <c r="E359" i="4"/>
  <c r="N358" i="4"/>
  <c r="C359" i="4" l="1"/>
  <c r="D359" i="4" s="1"/>
  <c r="H359" i="4" s="1"/>
  <c r="B359" i="4"/>
  <c r="A359" i="4"/>
  <c r="M359" i="4"/>
  <c r="A699" i="4"/>
  <c r="C699" i="4"/>
  <c r="D699" i="4" s="1"/>
  <c r="H699" i="4" s="1"/>
  <c r="B699" i="4"/>
  <c r="M699" i="4"/>
  <c r="G20" i="4"/>
  <c r="L20" i="4" s="1"/>
  <c r="O1043" i="4"/>
  <c r="M1043" i="4"/>
  <c r="J1043" i="4"/>
  <c r="F699" i="4" l="1"/>
  <c r="G699" i="4" s="1"/>
  <c r="F359" i="4"/>
  <c r="G359" i="4" s="1"/>
  <c r="I20" i="4"/>
  <c r="K20" i="4" s="1"/>
  <c r="O20" i="4"/>
  <c r="F1044" i="4"/>
  <c r="G1044" i="4" s="1"/>
  <c r="J20" i="4"/>
  <c r="O1044" i="4" l="1"/>
  <c r="J1044" i="4"/>
  <c r="E21" i="4"/>
  <c r="N20" i="4"/>
  <c r="L1044" i="4"/>
  <c r="I1044" i="4" s="1"/>
  <c r="K1044" i="4" s="1"/>
  <c r="J359" i="4"/>
  <c r="L359" i="4"/>
  <c r="I359" i="4"/>
  <c r="K359" i="4" s="1"/>
  <c r="O359" i="4"/>
  <c r="O699" i="4"/>
  <c r="I699" i="4"/>
  <c r="K699" i="4" s="1"/>
  <c r="L699" i="4"/>
  <c r="J699" i="4"/>
  <c r="E700" i="4" l="1"/>
  <c r="N699" i="4"/>
  <c r="E1045" i="4"/>
  <c r="N1044" i="4"/>
  <c r="E360" i="4"/>
  <c r="N359" i="4"/>
  <c r="C21" i="4"/>
  <c r="D21" i="4" s="1"/>
  <c r="H21" i="4" s="1"/>
  <c r="B21" i="4"/>
  <c r="A21" i="4"/>
  <c r="M21" i="4"/>
  <c r="F21" i="4" l="1"/>
  <c r="C360" i="4"/>
  <c r="D360" i="4" s="1"/>
  <c r="H360" i="4" s="1"/>
  <c r="M360" i="4"/>
  <c r="B360" i="4"/>
  <c r="A360" i="4"/>
  <c r="N1045" i="4"/>
  <c r="B1045" i="4"/>
  <c r="A1045" i="4"/>
  <c r="C1045" i="4"/>
  <c r="D1045" i="4" s="1"/>
  <c r="H1045" i="4" s="1"/>
  <c r="L1045" i="4"/>
  <c r="K1045" i="4"/>
  <c r="E1046" i="4" s="1"/>
  <c r="I1045" i="4"/>
  <c r="C700" i="4"/>
  <c r="D700" i="4" s="1"/>
  <c r="H700" i="4" s="1"/>
  <c r="A700" i="4"/>
  <c r="M700" i="4"/>
  <c r="B700" i="4"/>
  <c r="F700" i="4" l="1"/>
  <c r="F1045" i="4"/>
  <c r="F360" i="4"/>
  <c r="G360" i="4" s="1"/>
  <c r="M1046" i="4"/>
  <c r="B1046" i="4"/>
  <c r="A1046" i="4"/>
  <c r="C1046" i="4"/>
  <c r="D1046" i="4" s="1"/>
  <c r="H1046" i="4" s="1"/>
  <c r="G21" i="4"/>
  <c r="O21" i="4" s="1"/>
  <c r="I21" i="4" l="1"/>
  <c r="K21" i="4" s="1"/>
  <c r="L21" i="4"/>
  <c r="J21" i="4"/>
  <c r="O360" i="4"/>
  <c r="L360" i="4"/>
  <c r="I360" i="4"/>
  <c r="K360" i="4" s="1"/>
  <c r="J360" i="4"/>
  <c r="G1045" i="4"/>
  <c r="O1045" i="4" s="1"/>
  <c r="G700" i="4"/>
  <c r="J700" i="4" s="1"/>
  <c r="O700" i="4" l="1"/>
  <c r="M1045" i="4"/>
  <c r="I700" i="4"/>
  <c r="K700" i="4" s="1"/>
  <c r="E361" i="4"/>
  <c r="N360" i="4"/>
  <c r="J1045" i="4"/>
  <c r="E22" i="4"/>
  <c r="N21" i="4"/>
  <c r="L700" i="4"/>
  <c r="B22" i="4" l="1"/>
  <c r="A22" i="4"/>
  <c r="M22" i="4"/>
  <c r="C22" i="4"/>
  <c r="D22" i="4" s="1"/>
  <c r="H22" i="4" s="1"/>
  <c r="C361" i="4"/>
  <c r="D361" i="4" s="1"/>
  <c r="H361" i="4" s="1"/>
  <c r="M361" i="4"/>
  <c r="A361" i="4"/>
  <c r="B361" i="4"/>
  <c r="E701" i="4"/>
  <c r="N700" i="4"/>
  <c r="F1046" i="4"/>
  <c r="F361" i="4" l="1"/>
  <c r="F22" i="4"/>
  <c r="G1046" i="4"/>
  <c r="L1046" i="4" s="1"/>
  <c r="I1046" i="4" s="1"/>
  <c r="K1046" i="4" s="1"/>
  <c r="M701" i="4"/>
  <c r="B701" i="4"/>
  <c r="C701" i="4"/>
  <c r="D701" i="4" s="1"/>
  <c r="H701" i="4" s="1"/>
  <c r="A701" i="4"/>
  <c r="F701" i="4" l="1"/>
  <c r="G701" i="4" s="1"/>
  <c r="E1047" i="4"/>
  <c r="N1046" i="4"/>
  <c r="J1046" i="4"/>
  <c r="O1046" i="4"/>
  <c r="G22" i="4"/>
  <c r="O22" i="4" s="1"/>
  <c r="G361" i="4"/>
  <c r="I361" i="4" s="1"/>
  <c r="K361" i="4" s="1"/>
  <c r="L361" i="4" l="1"/>
  <c r="J361" i="4"/>
  <c r="O361" i="4"/>
  <c r="E362" i="4"/>
  <c r="N361" i="4"/>
  <c r="I22" i="4"/>
  <c r="K22" i="4" s="1"/>
  <c r="L22" i="4"/>
  <c r="J22" i="4"/>
  <c r="L1047" i="4"/>
  <c r="B1047" i="4"/>
  <c r="A1047" i="4"/>
  <c r="K1047" i="4"/>
  <c r="E1048" i="4" s="1"/>
  <c r="I1047" i="4"/>
  <c r="N1047" i="4"/>
  <c r="C1047" i="4"/>
  <c r="D1047" i="4" s="1"/>
  <c r="H1047" i="4" s="1"/>
  <c r="L701" i="4"/>
  <c r="J701" i="4"/>
  <c r="I701" i="4"/>
  <c r="K701" i="4" s="1"/>
  <c r="O701" i="4"/>
  <c r="F1047" i="4" l="1"/>
  <c r="B1048" i="4"/>
  <c r="A1048" i="4"/>
  <c r="M1048" i="4"/>
  <c r="C1048" i="4"/>
  <c r="D1048" i="4" s="1"/>
  <c r="H1048" i="4" s="1"/>
  <c r="E702" i="4"/>
  <c r="N701" i="4"/>
  <c r="E23" i="4"/>
  <c r="N22" i="4"/>
  <c r="C362" i="4"/>
  <c r="D362" i="4" s="1"/>
  <c r="H362" i="4" s="1"/>
  <c r="A362" i="4"/>
  <c r="M362" i="4"/>
  <c r="B362" i="4"/>
  <c r="F362" i="4" l="1"/>
  <c r="C702" i="4"/>
  <c r="D702" i="4" s="1"/>
  <c r="H702" i="4" s="1"/>
  <c r="B702" i="4"/>
  <c r="A702" i="4"/>
  <c r="M702" i="4"/>
  <c r="A23" i="4"/>
  <c r="B23" i="4"/>
  <c r="C23" i="4"/>
  <c r="D23" i="4" s="1"/>
  <c r="H23" i="4" s="1"/>
  <c r="M23" i="4"/>
  <c r="G1047" i="4"/>
  <c r="J1047" i="4" s="1"/>
  <c r="F23" i="4" l="1"/>
  <c r="G23" i="4" s="1"/>
  <c r="F702" i="4"/>
  <c r="M1047" i="4"/>
  <c r="O1047" i="4"/>
  <c r="G362" i="4"/>
  <c r="J362" i="4" s="1"/>
  <c r="L362" i="4" l="1"/>
  <c r="I362" i="4"/>
  <c r="K362" i="4" s="1"/>
  <c r="O362" i="4"/>
  <c r="F1048" i="4"/>
  <c r="G1048" i="4" s="1"/>
  <c r="G702" i="4"/>
  <c r="J702" i="4" s="1"/>
  <c r="O23" i="4"/>
  <c r="L23" i="4"/>
  <c r="J23" i="4"/>
  <c r="I23" i="4"/>
  <c r="K23" i="4" s="1"/>
  <c r="E363" i="4" l="1"/>
  <c r="N362" i="4"/>
  <c r="O1048" i="4"/>
  <c r="J1048" i="4"/>
  <c r="L1048" i="4"/>
  <c r="I1048" i="4" s="1"/>
  <c r="K1048" i="4" s="1"/>
  <c r="O702" i="4"/>
  <c r="L702" i="4"/>
  <c r="I702" i="4"/>
  <c r="K702" i="4" s="1"/>
  <c r="E24" i="4"/>
  <c r="N23" i="4"/>
  <c r="E703" i="4" l="1"/>
  <c r="N702" i="4"/>
  <c r="M24" i="4"/>
  <c r="C24" i="4"/>
  <c r="D24" i="4" s="1"/>
  <c r="H24" i="4" s="1"/>
  <c r="B24" i="4"/>
  <c r="A24" i="4"/>
  <c r="E1049" i="4"/>
  <c r="N1048" i="4"/>
  <c r="C363" i="4"/>
  <c r="D363" i="4" s="1"/>
  <c r="H363" i="4" s="1"/>
  <c r="B363" i="4"/>
  <c r="A363" i="4"/>
  <c r="M363" i="4"/>
  <c r="F363" i="4" l="1"/>
  <c r="F24" i="4"/>
  <c r="B1049" i="4"/>
  <c r="A1049" i="4"/>
  <c r="C1049" i="4"/>
  <c r="D1049" i="4" s="1"/>
  <c r="H1049" i="4" s="1"/>
  <c r="N1049" i="4"/>
  <c r="L1049" i="4"/>
  <c r="K1049" i="4"/>
  <c r="E1050" i="4" s="1"/>
  <c r="I1049" i="4"/>
  <c r="A703" i="4"/>
  <c r="M703" i="4"/>
  <c r="C703" i="4"/>
  <c r="D703" i="4" s="1"/>
  <c r="H703" i="4" s="1"/>
  <c r="F703" i="4" s="1"/>
  <c r="B703" i="4"/>
  <c r="F1049" i="4" l="1"/>
  <c r="G1049" i="4" s="1"/>
  <c r="G703" i="4"/>
  <c r="O703" i="4" s="1"/>
  <c r="G24" i="4"/>
  <c r="I24" i="4" s="1"/>
  <c r="K24" i="4" s="1"/>
  <c r="B1050" i="4"/>
  <c r="A1050" i="4"/>
  <c r="C1050" i="4"/>
  <c r="D1050" i="4" s="1"/>
  <c r="H1050" i="4" s="1"/>
  <c r="M1050" i="4"/>
  <c r="G363" i="4"/>
  <c r="O363" i="4" s="1"/>
  <c r="L363" i="4" l="1"/>
  <c r="I363" i="4"/>
  <c r="K363" i="4" s="1"/>
  <c r="E364" i="4" s="1"/>
  <c r="E25" i="4"/>
  <c r="N24" i="4"/>
  <c r="L24" i="4"/>
  <c r="O24" i="4"/>
  <c r="J24" i="4"/>
  <c r="L703" i="4"/>
  <c r="J1049" i="4"/>
  <c r="O1049" i="4"/>
  <c r="M1049" i="4"/>
  <c r="I703" i="4"/>
  <c r="K703" i="4" s="1"/>
  <c r="J703" i="4"/>
  <c r="J363" i="4"/>
  <c r="N363" i="4" l="1"/>
  <c r="E704" i="4"/>
  <c r="N703" i="4"/>
  <c r="C364" i="4"/>
  <c r="D364" i="4" s="1"/>
  <c r="H364" i="4" s="1"/>
  <c r="B364" i="4"/>
  <c r="A364" i="4"/>
  <c r="M364" i="4"/>
  <c r="M25" i="4"/>
  <c r="C25" i="4"/>
  <c r="D25" i="4" s="1"/>
  <c r="H25" i="4" s="1"/>
  <c r="B25" i="4"/>
  <c r="A25" i="4"/>
  <c r="F1050" i="4"/>
  <c r="F25" i="4" l="1"/>
  <c r="F364" i="4"/>
  <c r="G1050" i="4"/>
  <c r="O1050" i="4" s="1"/>
  <c r="M704" i="4"/>
  <c r="C704" i="4"/>
  <c r="D704" i="4" s="1"/>
  <c r="H704" i="4" s="1"/>
  <c r="F704" i="4" s="1"/>
  <c r="B704" i="4"/>
  <c r="A704" i="4"/>
  <c r="G704" i="4" l="1"/>
  <c r="J704" i="4" s="1"/>
  <c r="L1050" i="4"/>
  <c r="I1050" i="4" s="1"/>
  <c r="K1050" i="4" s="1"/>
  <c r="J1050" i="4"/>
  <c r="G364" i="4"/>
  <c r="L364" i="4" s="1"/>
  <c r="G25" i="4"/>
  <c r="O25" i="4" s="1"/>
  <c r="I704" i="4" l="1"/>
  <c r="K704" i="4" s="1"/>
  <c r="O704" i="4"/>
  <c r="L25" i="4"/>
  <c r="I25" i="4"/>
  <c r="K25" i="4" s="1"/>
  <c r="E26" i="4" s="1"/>
  <c r="J364" i="4"/>
  <c r="O364" i="4"/>
  <c r="I364" i="4"/>
  <c r="K364" i="4" s="1"/>
  <c r="E1051" i="4"/>
  <c r="N1050" i="4"/>
  <c r="E705" i="4"/>
  <c r="N704" i="4"/>
  <c r="J25" i="4"/>
  <c r="L704" i="4"/>
  <c r="N25" i="4" l="1"/>
  <c r="B1051" i="4"/>
  <c r="A1051" i="4"/>
  <c r="L1051" i="4"/>
  <c r="K1051" i="4"/>
  <c r="E1052" i="4" s="1"/>
  <c r="I1051" i="4"/>
  <c r="C1051" i="4"/>
  <c r="D1051" i="4" s="1"/>
  <c r="H1051" i="4" s="1"/>
  <c r="N1051" i="4"/>
  <c r="C705" i="4"/>
  <c r="D705" i="4" s="1"/>
  <c r="H705" i="4" s="1"/>
  <c r="M705" i="4"/>
  <c r="B705" i="4"/>
  <c r="A705" i="4"/>
  <c r="E365" i="4"/>
  <c r="N364" i="4"/>
  <c r="B26" i="4"/>
  <c r="M26" i="4"/>
  <c r="A26" i="4"/>
  <c r="C26" i="4"/>
  <c r="D26" i="4" s="1"/>
  <c r="H26" i="4" s="1"/>
  <c r="F705" i="4" l="1"/>
  <c r="G705" i="4" s="1"/>
  <c r="F1051" i="4"/>
  <c r="G1051" i="4" s="1"/>
  <c r="F26" i="4"/>
  <c r="G26" i="4" s="1"/>
  <c r="C1052" i="4"/>
  <c r="D1052" i="4" s="1"/>
  <c r="H1052" i="4" s="1"/>
  <c r="B1052" i="4"/>
  <c r="A1052" i="4"/>
  <c r="M1052" i="4"/>
  <c r="C365" i="4"/>
  <c r="D365" i="4" s="1"/>
  <c r="H365" i="4" s="1"/>
  <c r="M365" i="4"/>
  <c r="B365" i="4"/>
  <c r="A365" i="4"/>
  <c r="F365" i="4" l="1"/>
  <c r="G365" i="4" s="1"/>
  <c r="L26" i="4"/>
  <c r="J26" i="4"/>
  <c r="I26" i="4"/>
  <c r="K26" i="4" s="1"/>
  <c r="O26" i="4"/>
  <c r="O1051" i="4"/>
  <c r="J1051" i="4"/>
  <c r="M1051" i="4"/>
  <c r="O705" i="4"/>
  <c r="L705" i="4"/>
  <c r="J705" i="4"/>
  <c r="I705" i="4"/>
  <c r="K705" i="4" s="1"/>
  <c r="E27" i="4" l="1"/>
  <c r="N26" i="4"/>
  <c r="F1052" i="4"/>
  <c r="E706" i="4"/>
  <c r="N705" i="4"/>
  <c r="I365" i="4"/>
  <c r="K365" i="4" s="1"/>
  <c r="O365" i="4"/>
  <c r="L365" i="4"/>
  <c r="J365" i="4"/>
  <c r="E366" i="4" l="1"/>
  <c r="N365" i="4"/>
  <c r="B706" i="4"/>
  <c r="M706" i="4"/>
  <c r="C706" i="4"/>
  <c r="D706" i="4" s="1"/>
  <c r="H706" i="4" s="1"/>
  <c r="A706" i="4"/>
  <c r="G1052" i="4"/>
  <c r="L1052" i="4" s="1"/>
  <c r="I1052" i="4" s="1"/>
  <c r="K1052" i="4" s="1"/>
  <c r="C27" i="4"/>
  <c r="D27" i="4" s="1"/>
  <c r="H27" i="4" s="1"/>
  <c r="B27" i="4"/>
  <c r="A27" i="4"/>
  <c r="M27" i="4"/>
  <c r="F27" i="4" l="1"/>
  <c r="G27" i="4" s="1"/>
  <c r="E1053" i="4"/>
  <c r="N1052" i="4"/>
  <c r="F706" i="4"/>
  <c r="J1052" i="4"/>
  <c r="O1052" i="4"/>
  <c r="C366" i="4"/>
  <c r="D366" i="4" s="1"/>
  <c r="H366" i="4" s="1"/>
  <c r="M366" i="4"/>
  <c r="B366" i="4"/>
  <c r="A366" i="4"/>
  <c r="F366" i="4" l="1"/>
  <c r="G366" i="4" s="1"/>
  <c r="G706" i="4"/>
  <c r="I706" i="4" s="1"/>
  <c r="K706" i="4" s="1"/>
  <c r="C1053" i="4"/>
  <c r="D1053" i="4" s="1"/>
  <c r="H1053" i="4" s="1"/>
  <c r="B1053" i="4"/>
  <c r="A1053" i="4"/>
  <c r="N1053" i="4"/>
  <c r="I1053" i="4"/>
  <c r="L1053" i="4"/>
  <c r="K1053" i="4"/>
  <c r="E1054" i="4" s="1"/>
  <c r="O27" i="4"/>
  <c r="L27" i="4"/>
  <c r="J27" i="4"/>
  <c r="I27" i="4"/>
  <c r="K27" i="4" s="1"/>
  <c r="F1053" i="4" l="1"/>
  <c r="E707" i="4"/>
  <c r="N706" i="4"/>
  <c r="J706" i="4"/>
  <c r="C1054" i="4"/>
  <c r="D1054" i="4" s="1"/>
  <c r="H1054" i="4" s="1"/>
  <c r="B1054" i="4"/>
  <c r="A1054" i="4"/>
  <c r="M1054" i="4"/>
  <c r="E28" i="4"/>
  <c r="N27" i="4"/>
  <c r="O706" i="4"/>
  <c r="L706" i="4"/>
  <c r="L366" i="4"/>
  <c r="J366" i="4"/>
  <c r="I366" i="4"/>
  <c r="K366" i="4" s="1"/>
  <c r="O366" i="4"/>
  <c r="C28" i="4" l="1"/>
  <c r="D28" i="4" s="1"/>
  <c r="H28" i="4" s="1"/>
  <c r="M28" i="4"/>
  <c r="B28" i="4"/>
  <c r="A28" i="4"/>
  <c r="E367" i="4"/>
  <c r="N366" i="4"/>
  <c r="A707" i="4"/>
  <c r="C707" i="4"/>
  <c r="D707" i="4" s="1"/>
  <c r="H707" i="4" s="1"/>
  <c r="B707" i="4"/>
  <c r="M707" i="4"/>
  <c r="G1053" i="4"/>
  <c r="J1053" i="4" s="1"/>
  <c r="F707" i="4" l="1"/>
  <c r="F28" i="4"/>
  <c r="G28" i="4" s="1"/>
  <c r="O1053" i="4"/>
  <c r="M1053" i="4"/>
  <c r="C367" i="4"/>
  <c r="D367" i="4" s="1"/>
  <c r="H367" i="4" s="1"/>
  <c r="B367" i="4"/>
  <c r="A367" i="4"/>
  <c r="M367" i="4"/>
  <c r="F367" i="4" l="1"/>
  <c r="F1054" i="4"/>
  <c r="J28" i="4"/>
  <c r="I28" i="4"/>
  <c r="K28" i="4" s="1"/>
  <c r="O28" i="4"/>
  <c r="L28" i="4"/>
  <c r="G707" i="4"/>
  <c r="L707" i="4" s="1"/>
  <c r="J707" i="4" l="1"/>
  <c r="I707" i="4"/>
  <c r="K707" i="4" s="1"/>
  <c r="E29" i="4"/>
  <c r="N28" i="4"/>
  <c r="O707" i="4"/>
  <c r="G1054" i="4"/>
  <c r="J1054" i="4" s="1"/>
  <c r="G367" i="4"/>
  <c r="L367" i="4" s="1"/>
  <c r="O367" i="4" l="1"/>
  <c r="O1054" i="4"/>
  <c r="J367" i="4"/>
  <c r="I367" i="4"/>
  <c r="K367" i="4" s="1"/>
  <c r="L1054" i="4"/>
  <c r="I1054" i="4" s="1"/>
  <c r="K1054" i="4" s="1"/>
  <c r="C29" i="4"/>
  <c r="D29" i="4" s="1"/>
  <c r="H29" i="4" s="1"/>
  <c r="B29" i="4"/>
  <c r="M29" i="4"/>
  <c r="A29" i="4"/>
  <c r="E708" i="4"/>
  <c r="N707" i="4"/>
  <c r="F29" i="4" l="1"/>
  <c r="M708" i="4"/>
  <c r="C708" i="4"/>
  <c r="D708" i="4" s="1"/>
  <c r="H708" i="4" s="1"/>
  <c r="A708" i="4"/>
  <c r="B708" i="4"/>
  <c r="E1055" i="4"/>
  <c r="N1054" i="4"/>
  <c r="E368" i="4"/>
  <c r="N367" i="4"/>
  <c r="F708" i="4" l="1"/>
  <c r="B1055" i="4"/>
  <c r="N1055" i="4"/>
  <c r="L1055" i="4"/>
  <c r="K1055" i="4"/>
  <c r="E1056" i="4" s="1"/>
  <c r="I1055" i="4"/>
  <c r="C1055" i="4"/>
  <c r="D1055" i="4" s="1"/>
  <c r="H1055" i="4" s="1"/>
  <c r="A1055" i="4"/>
  <c r="C368" i="4"/>
  <c r="D368" i="4" s="1"/>
  <c r="H368" i="4" s="1"/>
  <c r="B368" i="4"/>
  <c r="A368" i="4"/>
  <c r="M368" i="4"/>
  <c r="G29" i="4"/>
  <c r="L29" i="4" s="1"/>
  <c r="F368" i="4" l="1"/>
  <c r="F1055" i="4"/>
  <c r="C1056" i="4"/>
  <c r="D1056" i="4" s="1"/>
  <c r="H1056" i="4" s="1"/>
  <c r="A1056" i="4"/>
  <c r="M1056" i="4"/>
  <c r="B1056" i="4"/>
  <c r="I29" i="4"/>
  <c r="K29" i="4" s="1"/>
  <c r="O29" i="4"/>
  <c r="J29" i="4"/>
  <c r="G708" i="4"/>
  <c r="O708" i="4" s="1"/>
  <c r="L708" i="4" l="1"/>
  <c r="I708" i="4"/>
  <c r="K708" i="4" s="1"/>
  <c r="J708" i="4"/>
  <c r="E30" i="4"/>
  <c r="N29" i="4"/>
  <c r="G1055" i="4"/>
  <c r="J1055" i="4" s="1"/>
  <c r="G368" i="4"/>
  <c r="I368" i="4" s="1"/>
  <c r="K368" i="4" s="1"/>
  <c r="J368" i="4" l="1"/>
  <c r="L368" i="4"/>
  <c r="O368" i="4"/>
  <c r="E369" i="4"/>
  <c r="N368" i="4"/>
  <c r="O1055" i="4"/>
  <c r="M1055" i="4"/>
  <c r="B30" i="4"/>
  <c r="A30" i="4"/>
  <c r="C30" i="4"/>
  <c r="D30" i="4" s="1"/>
  <c r="H30" i="4" s="1"/>
  <c r="M30" i="4"/>
  <c r="E709" i="4"/>
  <c r="N708" i="4"/>
  <c r="F30" i="4" l="1"/>
  <c r="M709" i="4"/>
  <c r="C709" i="4"/>
  <c r="D709" i="4" s="1"/>
  <c r="H709" i="4" s="1"/>
  <c r="B709" i="4"/>
  <c r="A709" i="4"/>
  <c r="F1056" i="4"/>
  <c r="G1056" i="4" s="1"/>
  <c r="B369" i="4"/>
  <c r="A369" i="4"/>
  <c r="M369" i="4"/>
  <c r="C369" i="4"/>
  <c r="D369" i="4" s="1"/>
  <c r="H369" i="4" s="1"/>
  <c r="F369" i="4" l="1"/>
  <c r="F709" i="4"/>
  <c r="G709" i="4" s="1"/>
  <c r="O1056" i="4"/>
  <c r="J1056" i="4"/>
  <c r="L1056" i="4"/>
  <c r="I1056" i="4" s="1"/>
  <c r="K1056" i="4" s="1"/>
  <c r="G30" i="4"/>
  <c r="L30" i="4" s="1"/>
  <c r="I30" i="4" l="1"/>
  <c r="K30" i="4" s="1"/>
  <c r="J30" i="4"/>
  <c r="E1057" i="4"/>
  <c r="N1056" i="4"/>
  <c r="O30" i="4"/>
  <c r="L709" i="4"/>
  <c r="O709" i="4"/>
  <c r="J709" i="4"/>
  <c r="I709" i="4"/>
  <c r="K709" i="4" s="1"/>
  <c r="G369" i="4"/>
  <c r="J369" i="4" s="1"/>
  <c r="O369" i="4" l="1"/>
  <c r="E710" i="4"/>
  <c r="N709" i="4"/>
  <c r="L369" i="4"/>
  <c r="I369" i="4"/>
  <c r="K369" i="4" s="1"/>
  <c r="B1057" i="4"/>
  <c r="N1057" i="4"/>
  <c r="I1057" i="4"/>
  <c r="C1057" i="4"/>
  <c r="D1057" i="4" s="1"/>
  <c r="H1057" i="4" s="1"/>
  <c r="A1057" i="4"/>
  <c r="K1057" i="4"/>
  <c r="E1058" i="4" s="1"/>
  <c r="L1057" i="4"/>
  <c r="E31" i="4"/>
  <c r="N30" i="4"/>
  <c r="F1057" i="4" l="1"/>
  <c r="A31" i="4"/>
  <c r="M31" i="4"/>
  <c r="B31" i="4"/>
  <c r="C31" i="4"/>
  <c r="D31" i="4" s="1"/>
  <c r="H31" i="4" s="1"/>
  <c r="F31" i="4" s="1"/>
  <c r="A1058" i="4"/>
  <c r="M1058" i="4"/>
  <c r="C1058" i="4"/>
  <c r="D1058" i="4" s="1"/>
  <c r="H1058" i="4" s="1"/>
  <c r="B1058" i="4"/>
  <c r="E370" i="4"/>
  <c r="N369" i="4"/>
  <c r="M710" i="4"/>
  <c r="B710" i="4"/>
  <c r="A710" i="4"/>
  <c r="C710" i="4"/>
  <c r="D710" i="4" s="1"/>
  <c r="H710" i="4" s="1"/>
  <c r="F710" i="4" l="1"/>
  <c r="G710" i="4" s="1"/>
  <c r="G31" i="4"/>
  <c r="J31" i="4" s="1"/>
  <c r="A370" i="4"/>
  <c r="M370" i="4"/>
  <c r="C370" i="4"/>
  <c r="D370" i="4" s="1"/>
  <c r="H370" i="4" s="1"/>
  <c r="B370" i="4"/>
  <c r="G1057" i="4"/>
  <c r="J1057" i="4" s="1"/>
  <c r="F370" i="4" l="1"/>
  <c r="O1057" i="4"/>
  <c r="M1057" i="4"/>
  <c r="L31" i="4"/>
  <c r="I31" i="4"/>
  <c r="K31" i="4" s="1"/>
  <c r="O710" i="4"/>
  <c r="L710" i="4"/>
  <c r="J710" i="4"/>
  <c r="I710" i="4"/>
  <c r="K710" i="4" s="1"/>
  <c r="O31" i="4"/>
  <c r="E711" i="4" l="1"/>
  <c r="N710" i="4"/>
  <c r="E32" i="4"/>
  <c r="N31" i="4"/>
  <c r="F1058" i="4"/>
  <c r="G370" i="4"/>
  <c r="J370" i="4" s="1"/>
  <c r="O370" i="4" l="1"/>
  <c r="L370" i="4"/>
  <c r="I370" i="4"/>
  <c r="K370" i="4" s="1"/>
  <c r="G1058" i="4"/>
  <c r="O1058" i="4" s="1"/>
  <c r="C32" i="4"/>
  <c r="D32" i="4" s="1"/>
  <c r="H32" i="4" s="1"/>
  <c r="M32" i="4"/>
  <c r="B32" i="4"/>
  <c r="A32" i="4"/>
  <c r="M711" i="4"/>
  <c r="A711" i="4"/>
  <c r="C711" i="4"/>
  <c r="D711" i="4" s="1"/>
  <c r="H711" i="4" s="1"/>
  <c r="B711" i="4"/>
  <c r="F711" i="4" l="1"/>
  <c r="G711" i="4" s="1"/>
  <c r="F32" i="4"/>
  <c r="L1058" i="4"/>
  <c r="I1058" i="4" s="1"/>
  <c r="K1058" i="4" s="1"/>
  <c r="E371" i="4"/>
  <c r="N370" i="4"/>
  <c r="J1058" i="4"/>
  <c r="M371" i="4" l="1"/>
  <c r="C371" i="4"/>
  <c r="D371" i="4" s="1"/>
  <c r="H371" i="4" s="1"/>
  <c r="B371" i="4"/>
  <c r="A371" i="4"/>
  <c r="E1059" i="4"/>
  <c r="N1058" i="4"/>
  <c r="G32" i="4"/>
  <c r="L32" i="4" s="1"/>
  <c r="O711" i="4"/>
  <c r="J711" i="4"/>
  <c r="L711" i="4"/>
  <c r="I711" i="4"/>
  <c r="K711" i="4" s="1"/>
  <c r="F371" i="4" l="1"/>
  <c r="G371" i="4" s="1"/>
  <c r="E712" i="4"/>
  <c r="N711" i="4"/>
  <c r="N1059" i="4"/>
  <c r="L1059" i="4"/>
  <c r="K1059" i="4"/>
  <c r="E1060" i="4" s="1"/>
  <c r="I1059" i="4"/>
  <c r="B1059" i="4"/>
  <c r="A1059" i="4"/>
  <c r="C1059" i="4"/>
  <c r="D1059" i="4" s="1"/>
  <c r="H1059" i="4" s="1"/>
  <c r="F1059" i="4" s="1"/>
  <c r="I32" i="4"/>
  <c r="K32" i="4" s="1"/>
  <c r="J32" i="4"/>
  <c r="O32" i="4"/>
  <c r="G1059" i="4" l="1"/>
  <c r="J1059" i="4" s="1"/>
  <c r="M712" i="4"/>
  <c r="B712" i="4"/>
  <c r="C712" i="4"/>
  <c r="D712" i="4" s="1"/>
  <c r="H712" i="4" s="1"/>
  <c r="A712" i="4"/>
  <c r="M1060" i="4"/>
  <c r="C1060" i="4"/>
  <c r="D1060" i="4" s="1"/>
  <c r="H1060" i="4" s="1"/>
  <c r="B1060" i="4"/>
  <c r="A1060" i="4"/>
  <c r="E33" i="4"/>
  <c r="N32" i="4"/>
  <c r="J371" i="4"/>
  <c r="I371" i="4"/>
  <c r="K371" i="4" s="1"/>
  <c r="O371" i="4"/>
  <c r="L371" i="4"/>
  <c r="F712" i="4" l="1"/>
  <c r="E372" i="4"/>
  <c r="N371" i="4"/>
  <c r="B33" i="4"/>
  <c r="M33" i="4"/>
  <c r="A33" i="4"/>
  <c r="C33" i="4"/>
  <c r="D33" i="4" s="1"/>
  <c r="H33" i="4" s="1"/>
  <c r="O1059" i="4"/>
  <c r="M1059" i="4"/>
  <c r="F33" i="4" l="1"/>
  <c r="F1060" i="4"/>
  <c r="M372" i="4"/>
  <c r="C372" i="4"/>
  <c r="D372" i="4" s="1"/>
  <c r="H372" i="4" s="1"/>
  <c r="B372" i="4"/>
  <c r="A372" i="4"/>
  <c r="G712" i="4"/>
  <c r="J712" i="4" s="1"/>
  <c r="G1060" i="4"/>
  <c r="F372" i="4" l="1"/>
  <c r="O1060" i="4"/>
  <c r="J1060" i="4"/>
  <c r="I712" i="4"/>
  <c r="K712" i="4" s="1"/>
  <c r="L712" i="4"/>
  <c r="O712" i="4"/>
  <c r="L1060" i="4"/>
  <c r="I1060" i="4" s="1"/>
  <c r="K1060" i="4" s="1"/>
  <c r="G33" i="4"/>
  <c r="O33" i="4" s="1"/>
  <c r="J33" i="4" l="1"/>
  <c r="E1061" i="4"/>
  <c r="N1060" i="4"/>
  <c r="L33" i="4"/>
  <c r="I33" i="4"/>
  <c r="K33" i="4" s="1"/>
  <c r="E713" i="4"/>
  <c r="N712" i="4"/>
  <c r="G372" i="4"/>
  <c r="L372" i="4" s="1"/>
  <c r="O372" i="4" l="1"/>
  <c r="J372" i="4"/>
  <c r="M713" i="4"/>
  <c r="C713" i="4"/>
  <c r="D713" i="4" s="1"/>
  <c r="H713" i="4" s="1"/>
  <c r="A713" i="4"/>
  <c r="B713" i="4"/>
  <c r="I372" i="4"/>
  <c r="K372" i="4" s="1"/>
  <c r="E34" i="4"/>
  <c r="N33" i="4"/>
  <c r="L1061" i="4"/>
  <c r="N1061" i="4"/>
  <c r="C1061" i="4"/>
  <c r="D1061" i="4" s="1"/>
  <c r="H1061" i="4" s="1"/>
  <c r="B1061" i="4"/>
  <c r="A1061" i="4"/>
  <c r="K1061" i="4"/>
  <c r="E1062" i="4" s="1"/>
  <c r="I1061" i="4"/>
  <c r="F1061" i="4" l="1"/>
  <c r="F713" i="4"/>
  <c r="C34" i="4"/>
  <c r="D34" i="4" s="1"/>
  <c r="H34" i="4" s="1"/>
  <c r="A34" i="4"/>
  <c r="M34" i="4"/>
  <c r="B34" i="4"/>
  <c r="E373" i="4"/>
  <c r="N372" i="4"/>
  <c r="A1062" i="4"/>
  <c r="M1062" i="4"/>
  <c r="C1062" i="4"/>
  <c r="D1062" i="4" s="1"/>
  <c r="H1062" i="4" s="1"/>
  <c r="B1062" i="4"/>
  <c r="F34" i="4" l="1"/>
  <c r="M373" i="4"/>
  <c r="B373" i="4"/>
  <c r="A373" i="4"/>
  <c r="C373" i="4"/>
  <c r="D373" i="4" s="1"/>
  <c r="H373" i="4" s="1"/>
  <c r="G713" i="4"/>
  <c r="I713" i="4" s="1"/>
  <c r="K713" i="4" s="1"/>
  <c r="G1061" i="4"/>
  <c r="M1061" i="4" s="1"/>
  <c r="F1062" i="4" l="1"/>
  <c r="E714" i="4"/>
  <c r="N713" i="4"/>
  <c r="F373" i="4"/>
  <c r="G373" i="4" s="1"/>
  <c r="J1061" i="4"/>
  <c r="O1061" i="4"/>
  <c r="J713" i="4"/>
  <c r="L713" i="4"/>
  <c r="O713" i="4"/>
  <c r="G34" i="4"/>
  <c r="O34" i="4" s="1"/>
  <c r="L34" i="4" l="1"/>
  <c r="J34" i="4"/>
  <c r="J373" i="4"/>
  <c r="L373" i="4"/>
  <c r="O373" i="4"/>
  <c r="I373" i="4"/>
  <c r="K373" i="4" s="1"/>
  <c r="M714" i="4"/>
  <c r="B714" i="4"/>
  <c r="A714" i="4"/>
  <c r="C714" i="4"/>
  <c r="D714" i="4" s="1"/>
  <c r="H714" i="4" s="1"/>
  <c r="I34" i="4"/>
  <c r="K34" i="4" s="1"/>
  <c r="G1062" i="4"/>
  <c r="O1062" i="4" s="1"/>
  <c r="L1062" i="4" l="1"/>
  <c r="I1062" i="4" s="1"/>
  <c r="K1062" i="4" s="1"/>
  <c r="E1063" i="4" s="1"/>
  <c r="F714" i="4"/>
  <c r="G714" i="4" s="1"/>
  <c r="E35" i="4"/>
  <c r="N34" i="4"/>
  <c r="E374" i="4"/>
  <c r="N373" i="4"/>
  <c r="J1062" i="4"/>
  <c r="N1062" i="4" l="1"/>
  <c r="B1063" i="4"/>
  <c r="A1063" i="4"/>
  <c r="N1063" i="4"/>
  <c r="L1063" i="4"/>
  <c r="K1063" i="4"/>
  <c r="E1064" i="4" s="1"/>
  <c r="I1063" i="4"/>
  <c r="C1063" i="4"/>
  <c r="D1063" i="4" s="1"/>
  <c r="H1063" i="4" s="1"/>
  <c r="M374" i="4"/>
  <c r="C374" i="4"/>
  <c r="D374" i="4" s="1"/>
  <c r="H374" i="4" s="1"/>
  <c r="B374" i="4"/>
  <c r="A374" i="4"/>
  <c r="C35" i="4"/>
  <c r="D35" i="4" s="1"/>
  <c r="H35" i="4" s="1"/>
  <c r="B35" i="4"/>
  <c r="M35" i="4"/>
  <c r="A35" i="4"/>
  <c r="L714" i="4"/>
  <c r="O714" i="4"/>
  <c r="J714" i="4"/>
  <c r="I714" i="4"/>
  <c r="K714" i="4" s="1"/>
  <c r="F374" i="4" l="1"/>
  <c r="G374" i="4"/>
  <c r="F1063" i="4"/>
  <c r="G1063" i="4" s="1"/>
  <c r="F35" i="4"/>
  <c r="C1064" i="4"/>
  <c r="B1064" i="4"/>
  <c r="A1064" i="4"/>
  <c r="D1064" i="4"/>
  <c r="H1064" i="4" s="1"/>
  <c r="M1064" i="4"/>
  <c r="E715" i="4"/>
  <c r="N714" i="4"/>
  <c r="M715" i="4" l="1"/>
  <c r="C715" i="4"/>
  <c r="D715" i="4" s="1"/>
  <c r="H715" i="4" s="1"/>
  <c r="B715" i="4"/>
  <c r="A715" i="4"/>
  <c r="G35" i="4"/>
  <c r="O35" i="4" s="1"/>
  <c r="J1063" i="4"/>
  <c r="O1063" i="4"/>
  <c r="M1063" i="4"/>
  <c r="J374" i="4"/>
  <c r="O374" i="4"/>
  <c r="I374" i="4"/>
  <c r="K374" i="4" s="1"/>
  <c r="L374" i="4"/>
  <c r="F715" i="4" l="1"/>
  <c r="G715" i="4" s="1"/>
  <c r="E375" i="4"/>
  <c r="N374" i="4"/>
  <c r="I35" i="4"/>
  <c r="K35" i="4" s="1"/>
  <c r="L35" i="4"/>
  <c r="J35" i="4"/>
  <c r="F1064" i="4"/>
  <c r="G1064" i="4" l="1"/>
  <c r="J1064" i="4" s="1"/>
  <c r="E36" i="4"/>
  <c r="N35" i="4"/>
  <c r="A375" i="4"/>
  <c r="C375" i="4"/>
  <c r="D375" i="4" s="1"/>
  <c r="H375" i="4" s="1"/>
  <c r="B375" i="4"/>
  <c r="M375" i="4"/>
  <c r="L715" i="4"/>
  <c r="I715" i="4"/>
  <c r="K715" i="4" s="1"/>
  <c r="O715" i="4"/>
  <c r="J715" i="4"/>
  <c r="F375" i="4" l="1"/>
  <c r="E716" i="4"/>
  <c r="N715" i="4"/>
  <c r="B36" i="4"/>
  <c r="A36" i="4"/>
  <c r="M36" i="4"/>
  <c r="C36" i="4"/>
  <c r="D36" i="4" s="1"/>
  <c r="H36" i="4" s="1"/>
  <c r="L1064" i="4"/>
  <c r="I1064" i="4" s="1"/>
  <c r="K1064" i="4" s="1"/>
  <c r="O1064" i="4"/>
  <c r="F36" i="4" l="1"/>
  <c r="G36" i="4" s="1"/>
  <c r="E1065" i="4"/>
  <c r="N1064" i="4"/>
  <c r="M716" i="4"/>
  <c r="B716" i="4"/>
  <c r="C716" i="4"/>
  <c r="D716" i="4" s="1"/>
  <c r="H716" i="4" s="1"/>
  <c r="A716" i="4"/>
  <c r="G375" i="4"/>
  <c r="O375" i="4" s="1"/>
  <c r="F716" i="4" l="1"/>
  <c r="G716" i="4" s="1"/>
  <c r="L375" i="4"/>
  <c r="J375" i="4"/>
  <c r="I375" i="4"/>
  <c r="K375" i="4" s="1"/>
  <c r="C1065" i="4"/>
  <c r="D1065" i="4" s="1"/>
  <c r="H1065" i="4" s="1"/>
  <c r="B1065" i="4"/>
  <c r="L1065" i="4"/>
  <c r="K1065" i="4"/>
  <c r="E1066" i="4" s="1"/>
  <c r="I1065" i="4"/>
  <c r="A1065" i="4"/>
  <c r="N1065" i="4"/>
  <c r="O36" i="4"/>
  <c r="J36" i="4"/>
  <c r="I36" i="4"/>
  <c r="K36" i="4" s="1"/>
  <c r="L36" i="4"/>
  <c r="F1065" i="4" l="1"/>
  <c r="G1065" i="4" s="1"/>
  <c r="M1066" i="4"/>
  <c r="C1066" i="4"/>
  <c r="D1066" i="4" s="1"/>
  <c r="H1066" i="4" s="1"/>
  <c r="B1066" i="4"/>
  <c r="A1066" i="4"/>
  <c r="E37" i="4"/>
  <c r="N36" i="4"/>
  <c r="E376" i="4"/>
  <c r="N375" i="4"/>
  <c r="L716" i="4"/>
  <c r="J716" i="4"/>
  <c r="I716" i="4"/>
  <c r="K716" i="4" s="1"/>
  <c r="O716" i="4"/>
  <c r="B376" i="4" l="1"/>
  <c r="A376" i="4"/>
  <c r="M376" i="4"/>
  <c r="C376" i="4"/>
  <c r="D376" i="4" s="1"/>
  <c r="H376" i="4" s="1"/>
  <c r="A37" i="4"/>
  <c r="C37" i="4"/>
  <c r="D37" i="4" s="1"/>
  <c r="H37" i="4" s="1"/>
  <c r="B37" i="4"/>
  <c r="M37" i="4"/>
  <c r="E717" i="4"/>
  <c r="N716" i="4"/>
  <c r="O1065" i="4"/>
  <c r="M1065" i="4"/>
  <c r="J1065" i="4"/>
  <c r="F37" i="4" l="1"/>
  <c r="F376" i="4"/>
  <c r="G376" i="4" s="1"/>
  <c r="F1066" i="4"/>
  <c r="M717" i="4"/>
  <c r="A717" i="4"/>
  <c r="C717" i="4"/>
  <c r="D717" i="4" s="1"/>
  <c r="H717" i="4" s="1"/>
  <c r="B717" i="4"/>
  <c r="F717" i="4" l="1"/>
  <c r="G1066" i="4"/>
  <c r="J1066" i="4" s="1"/>
  <c r="I376" i="4"/>
  <c r="K376" i="4" s="1"/>
  <c r="O376" i="4"/>
  <c r="L376" i="4"/>
  <c r="J376" i="4"/>
  <c r="G37" i="4"/>
  <c r="L37" i="4" s="1"/>
  <c r="O37" i="4" l="1"/>
  <c r="I37" i="4"/>
  <c r="K37" i="4" s="1"/>
  <c r="E38" i="4" s="1"/>
  <c r="J37" i="4"/>
  <c r="E377" i="4"/>
  <c r="N376" i="4"/>
  <c r="L1066" i="4"/>
  <c r="I1066" i="4" s="1"/>
  <c r="K1066" i="4" s="1"/>
  <c r="O1066" i="4"/>
  <c r="G717" i="4"/>
  <c r="L717" i="4" s="1"/>
  <c r="N37" i="4" l="1"/>
  <c r="E1067" i="4"/>
  <c r="N1066" i="4"/>
  <c r="O717" i="4"/>
  <c r="I717" i="4"/>
  <c r="K717" i="4" s="1"/>
  <c r="J717" i="4"/>
  <c r="C377" i="4"/>
  <c r="D377" i="4" s="1"/>
  <c r="H377" i="4" s="1"/>
  <c r="B377" i="4"/>
  <c r="M377" i="4"/>
  <c r="A377" i="4"/>
  <c r="M38" i="4"/>
  <c r="C38" i="4"/>
  <c r="D38" i="4" s="1"/>
  <c r="H38" i="4" s="1"/>
  <c r="B38" i="4"/>
  <c r="A38" i="4"/>
  <c r="F38" i="4" l="1"/>
  <c r="G38" i="4" s="1"/>
  <c r="F377" i="4"/>
  <c r="G377" i="4" s="1"/>
  <c r="E718" i="4"/>
  <c r="N717" i="4"/>
  <c r="K1067" i="4"/>
  <c r="E1068" i="4" s="1"/>
  <c r="I1067" i="4"/>
  <c r="B1067" i="4"/>
  <c r="A1067" i="4"/>
  <c r="L1067" i="4"/>
  <c r="C1067" i="4"/>
  <c r="D1067" i="4" s="1"/>
  <c r="H1067" i="4" s="1"/>
  <c r="N1067" i="4"/>
  <c r="F1067" i="4" l="1"/>
  <c r="C1068" i="4"/>
  <c r="D1068" i="4" s="1"/>
  <c r="H1068" i="4" s="1"/>
  <c r="M1068" i="4"/>
  <c r="B1068" i="4"/>
  <c r="A1068" i="4"/>
  <c r="M718" i="4"/>
  <c r="C718" i="4"/>
  <c r="D718" i="4" s="1"/>
  <c r="H718" i="4" s="1"/>
  <c r="B718" i="4"/>
  <c r="A718" i="4"/>
  <c r="J377" i="4"/>
  <c r="I377" i="4"/>
  <c r="K377" i="4" s="1"/>
  <c r="O377" i="4"/>
  <c r="L377" i="4"/>
  <c r="I38" i="4"/>
  <c r="K38" i="4" s="1"/>
  <c r="J38" i="4"/>
  <c r="L38" i="4"/>
  <c r="O38" i="4"/>
  <c r="F718" i="4" l="1"/>
  <c r="G718" i="4" s="1"/>
  <c r="E39" i="4"/>
  <c r="N38" i="4"/>
  <c r="E378" i="4"/>
  <c r="N377" i="4"/>
  <c r="G1067" i="4"/>
  <c r="M1067" i="4" s="1"/>
  <c r="F1068" i="4" l="1"/>
  <c r="J1067" i="4"/>
  <c r="C378" i="4"/>
  <c r="D378" i="4" s="1"/>
  <c r="H378" i="4" s="1"/>
  <c r="A378" i="4"/>
  <c r="B378" i="4"/>
  <c r="M378" i="4"/>
  <c r="M39" i="4"/>
  <c r="C39" i="4"/>
  <c r="D39" i="4" s="1"/>
  <c r="H39" i="4" s="1"/>
  <c r="A39" i="4"/>
  <c r="B39" i="4"/>
  <c r="O1067" i="4"/>
  <c r="O718" i="4"/>
  <c r="L718" i="4"/>
  <c r="I718" i="4"/>
  <c r="K718" i="4" s="1"/>
  <c r="J718" i="4"/>
  <c r="F39" i="4" l="1"/>
  <c r="G39" i="4" s="1"/>
  <c r="F378" i="4"/>
  <c r="E719" i="4"/>
  <c r="N718" i="4"/>
  <c r="G1068" i="4"/>
  <c r="J1068" i="4" s="1"/>
  <c r="O1068" i="4" l="1"/>
  <c r="L1068" i="4"/>
  <c r="I1068" i="4" s="1"/>
  <c r="K1068" i="4" s="1"/>
  <c r="C719" i="4"/>
  <c r="D719" i="4" s="1"/>
  <c r="H719" i="4" s="1"/>
  <c r="M719" i="4"/>
  <c r="A719" i="4"/>
  <c r="B719" i="4"/>
  <c r="G378" i="4"/>
  <c r="L378" i="4" s="1"/>
  <c r="I39" i="4"/>
  <c r="K39" i="4" s="1"/>
  <c r="L39" i="4"/>
  <c r="J39" i="4"/>
  <c r="O39" i="4"/>
  <c r="F719" i="4" l="1"/>
  <c r="E1069" i="4"/>
  <c r="N1068" i="4"/>
  <c r="J378" i="4"/>
  <c r="O378" i="4"/>
  <c r="I378" i="4"/>
  <c r="K378" i="4" s="1"/>
  <c r="E40" i="4"/>
  <c r="N39" i="4"/>
  <c r="M40" i="4" l="1"/>
  <c r="C40" i="4"/>
  <c r="D40" i="4" s="1"/>
  <c r="H40" i="4" s="1"/>
  <c r="B40" i="4"/>
  <c r="A40" i="4"/>
  <c r="C1069" i="4"/>
  <c r="D1069" i="4" s="1"/>
  <c r="H1069" i="4" s="1"/>
  <c r="B1069" i="4"/>
  <c r="N1069" i="4"/>
  <c r="L1069" i="4"/>
  <c r="K1069" i="4"/>
  <c r="E1070" i="4" s="1"/>
  <c r="I1069" i="4"/>
  <c r="A1069" i="4"/>
  <c r="E379" i="4"/>
  <c r="N378" i="4"/>
  <c r="G719" i="4"/>
  <c r="J719" i="4" s="1"/>
  <c r="F1069" i="4" l="1"/>
  <c r="F40" i="4"/>
  <c r="G40" i="4" s="1"/>
  <c r="C1070" i="4"/>
  <c r="B1070" i="4"/>
  <c r="A1070" i="4"/>
  <c r="D1070" i="4"/>
  <c r="H1070" i="4" s="1"/>
  <c r="M1070" i="4"/>
  <c r="I719" i="4"/>
  <c r="K719" i="4" s="1"/>
  <c r="L719" i="4"/>
  <c r="O719" i="4"/>
  <c r="B379" i="4"/>
  <c r="C379" i="4"/>
  <c r="D379" i="4" s="1"/>
  <c r="H379" i="4" s="1"/>
  <c r="F379" i="4" s="1"/>
  <c r="A379" i="4"/>
  <c r="M379" i="4"/>
  <c r="G379" i="4" l="1"/>
  <c r="J379" i="4" s="1"/>
  <c r="E720" i="4"/>
  <c r="N719" i="4"/>
  <c r="L40" i="4"/>
  <c r="J40" i="4"/>
  <c r="I40" i="4"/>
  <c r="K40" i="4" s="1"/>
  <c r="O40" i="4"/>
  <c r="G1069" i="4"/>
  <c r="M1069" i="4" s="1"/>
  <c r="L379" i="4" l="1"/>
  <c r="O379" i="4"/>
  <c r="J1069" i="4"/>
  <c r="O1069" i="4"/>
  <c r="B720" i="4"/>
  <c r="M720" i="4"/>
  <c r="C720" i="4"/>
  <c r="D720" i="4" s="1"/>
  <c r="H720" i="4" s="1"/>
  <c r="A720" i="4"/>
  <c r="F1070" i="4"/>
  <c r="G1070" i="4" s="1"/>
  <c r="I379" i="4"/>
  <c r="K379" i="4" s="1"/>
  <c r="E41" i="4"/>
  <c r="N40" i="4"/>
  <c r="F720" i="4" l="1"/>
  <c r="G720" i="4" s="1"/>
  <c r="M41" i="4"/>
  <c r="C41" i="4"/>
  <c r="D41" i="4" s="1"/>
  <c r="H41" i="4" s="1"/>
  <c r="B41" i="4"/>
  <c r="A41" i="4"/>
  <c r="J1070" i="4"/>
  <c r="O1070" i="4"/>
  <c r="E380" i="4"/>
  <c r="N379" i="4"/>
  <c r="L1070" i="4"/>
  <c r="I1070" i="4" s="1"/>
  <c r="K1070" i="4" s="1"/>
  <c r="F41" i="4" l="1"/>
  <c r="E1071" i="4"/>
  <c r="N1070" i="4"/>
  <c r="C380" i="4"/>
  <c r="D380" i="4" s="1"/>
  <c r="H380" i="4" s="1"/>
  <c r="M380" i="4"/>
  <c r="B380" i="4"/>
  <c r="A380" i="4"/>
  <c r="L720" i="4"/>
  <c r="I720" i="4"/>
  <c r="K720" i="4" s="1"/>
  <c r="O720" i="4"/>
  <c r="J720" i="4"/>
  <c r="F380" i="4" l="1"/>
  <c r="G380" i="4" s="1"/>
  <c r="E721" i="4"/>
  <c r="N720" i="4"/>
  <c r="B1071" i="4"/>
  <c r="A1071" i="4"/>
  <c r="N1071" i="4"/>
  <c r="C1071" i="4"/>
  <c r="D1071" i="4" s="1"/>
  <c r="H1071" i="4" s="1"/>
  <c r="L1071" i="4"/>
  <c r="K1071" i="4"/>
  <c r="E1072" i="4" s="1"/>
  <c r="I1071" i="4"/>
  <c r="G41" i="4"/>
  <c r="J41" i="4" s="1"/>
  <c r="F1071" i="4" l="1"/>
  <c r="I41" i="4"/>
  <c r="K41" i="4" s="1"/>
  <c r="A1072" i="4"/>
  <c r="M1072" i="4"/>
  <c r="B1072" i="4"/>
  <c r="C1072" i="4"/>
  <c r="D1072" i="4" s="1"/>
  <c r="H1072" i="4" s="1"/>
  <c r="O41" i="4"/>
  <c r="L41" i="4"/>
  <c r="A721" i="4"/>
  <c r="M721" i="4"/>
  <c r="C721" i="4"/>
  <c r="D721" i="4" s="1"/>
  <c r="H721" i="4" s="1"/>
  <c r="B721" i="4"/>
  <c r="J380" i="4"/>
  <c r="I380" i="4"/>
  <c r="K380" i="4" s="1"/>
  <c r="L380" i="4"/>
  <c r="O380" i="4"/>
  <c r="F721" i="4" l="1"/>
  <c r="E381" i="4"/>
  <c r="N380" i="4"/>
  <c r="E42" i="4"/>
  <c r="N41" i="4"/>
  <c r="G1071" i="4"/>
  <c r="J1071" i="4" s="1"/>
  <c r="M1071" i="4" l="1"/>
  <c r="C42" i="4"/>
  <c r="D42" i="4" s="1"/>
  <c r="H42" i="4" s="1"/>
  <c r="B42" i="4"/>
  <c r="M42" i="4"/>
  <c r="A42" i="4"/>
  <c r="C381" i="4"/>
  <c r="D381" i="4" s="1"/>
  <c r="H381" i="4" s="1"/>
  <c r="B381" i="4"/>
  <c r="A381" i="4"/>
  <c r="M381" i="4"/>
  <c r="O1071" i="4"/>
  <c r="G721" i="4"/>
  <c r="O721" i="4" s="1"/>
  <c r="F381" i="4" l="1"/>
  <c r="G381" i="4" s="1"/>
  <c r="F42" i="4"/>
  <c r="L721" i="4"/>
  <c r="I721" i="4"/>
  <c r="K721" i="4" s="1"/>
  <c r="J721" i="4"/>
  <c r="F1072" i="4"/>
  <c r="G1072" i="4" l="1"/>
  <c r="J1072" i="4" s="1"/>
  <c r="E722" i="4"/>
  <c r="N721" i="4"/>
  <c r="G42" i="4"/>
  <c r="I42" i="4" s="1"/>
  <c r="K42" i="4" s="1"/>
  <c r="L381" i="4"/>
  <c r="J381" i="4"/>
  <c r="I381" i="4"/>
  <c r="K381" i="4" s="1"/>
  <c r="O381" i="4"/>
  <c r="E43" i="4" l="1"/>
  <c r="N42" i="4"/>
  <c r="E382" i="4"/>
  <c r="N381" i="4"/>
  <c r="J42" i="4"/>
  <c r="L42" i="4"/>
  <c r="M722" i="4"/>
  <c r="C722" i="4"/>
  <c r="D722" i="4" s="1"/>
  <c r="H722" i="4" s="1"/>
  <c r="A722" i="4"/>
  <c r="B722" i="4"/>
  <c r="O42" i="4"/>
  <c r="L1072" i="4"/>
  <c r="I1072" i="4" s="1"/>
  <c r="K1072" i="4" s="1"/>
  <c r="O1072" i="4"/>
  <c r="F722" i="4" l="1"/>
  <c r="E1073" i="4"/>
  <c r="N1072" i="4"/>
  <c r="C382" i="4"/>
  <c r="D382" i="4" s="1"/>
  <c r="H382" i="4" s="1"/>
  <c r="B382" i="4"/>
  <c r="A382" i="4"/>
  <c r="M382" i="4"/>
  <c r="C43" i="4"/>
  <c r="D43" i="4" s="1"/>
  <c r="H43" i="4" s="1"/>
  <c r="B43" i="4"/>
  <c r="A43" i="4"/>
  <c r="M43" i="4"/>
  <c r="F43" i="4" l="1"/>
  <c r="F382" i="4"/>
  <c r="N1073" i="4"/>
  <c r="L1073" i="4"/>
  <c r="I1073" i="4"/>
  <c r="K1073" i="4"/>
  <c r="E1074" i="4" s="1"/>
  <c r="C1073" i="4"/>
  <c r="D1073" i="4" s="1"/>
  <c r="H1073" i="4" s="1"/>
  <c r="B1073" i="4"/>
  <c r="A1073" i="4"/>
  <c r="G722" i="4"/>
  <c r="O722" i="4" s="1"/>
  <c r="F1073" i="4" l="1"/>
  <c r="G1073" i="4" s="1"/>
  <c r="L722" i="4"/>
  <c r="I722" i="4"/>
  <c r="K722" i="4" s="1"/>
  <c r="J722" i="4"/>
  <c r="M1074" i="4"/>
  <c r="C1074" i="4"/>
  <c r="D1074" i="4" s="1"/>
  <c r="H1074" i="4" s="1"/>
  <c r="B1074" i="4"/>
  <c r="A1074" i="4"/>
  <c r="G382" i="4"/>
  <c r="L382" i="4" s="1"/>
  <c r="G43" i="4"/>
  <c r="O43" i="4" s="1"/>
  <c r="I43" i="4" l="1"/>
  <c r="K43" i="4" s="1"/>
  <c r="E44" i="4" s="1"/>
  <c r="J43" i="4"/>
  <c r="L43" i="4"/>
  <c r="O382" i="4"/>
  <c r="I382" i="4"/>
  <c r="K382" i="4" s="1"/>
  <c r="J382" i="4"/>
  <c r="E723" i="4"/>
  <c r="N722" i="4"/>
  <c r="O1073" i="4"/>
  <c r="J1073" i="4"/>
  <c r="M1073" i="4"/>
  <c r="N43" i="4" l="1"/>
  <c r="M723" i="4"/>
  <c r="C723" i="4"/>
  <c r="D723" i="4" s="1"/>
  <c r="H723" i="4" s="1"/>
  <c r="B723" i="4"/>
  <c r="A723" i="4"/>
  <c r="E383" i="4"/>
  <c r="N382" i="4"/>
  <c r="C44" i="4"/>
  <c r="D44" i="4" s="1"/>
  <c r="H44" i="4" s="1"/>
  <c r="B44" i="4"/>
  <c r="A44" i="4"/>
  <c r="M44" i="4"/>
  <c r="F1074" i="4"/>
  <c r="F44" i="4" l="1"/>
  <c r="F723" i="4"/>
  <c r="B383" i="4"/>
  <c r="A383" i="4"/>
  <c r="M383" i="4"/>
  <c r="C383" i="4"/>
  <c r="D383" i="4" s="1"/>
  <c r="H383" i="4" s="1"/>
  <c r="G1074" i="4"/>
  <c r="J1074" i="4" s="1"/>
  <c r="F383" i="4" l="1"/>
  <c r="L1074" i="4"/>
  <c r="I1074" i="4" s="1"/>
  <c r="K1074" i="4" s="1"/>
  <c r="O1074" i="4"/>
  <c r="G723" i="4"/>
  <c r="O723" i="4" s="1"/>
  <c r="G44" i="4"/>
  <c r="L44" i="4" s="1"/>
  <c r="I44" i="4" l="1"/>
  <c r="K44" i="4" s="1"/>
  <c r="O44" i="4"/>
  <c r="J44" i="4"/>
  <c r="L723" i="4"/>
  <c r="E1075" i="4"/>
  <c r="N1074" i="4"/>
  <c r="J723" i="4"/>
  <c r="I723" i="4"/>
  <c r="K723" i="4" s="1"/>
  <c r="G383" i="4"/>
  <c r="I383" i="4" s="1"/>
  <c r="K383" i="4" s="1"/>
  <c r="E384" i="4" l="1"/>
  <c r="N383" i="4"/>
  <c r="J383" i="4"/>
  <c r="E724" i="4"/>
  <c r="N723" i="4"/>
  <c r="L383" i="4"/>
  <c r="O383" i="4"/>
  <c r="L1075" i="4"/>
  <c r="K1075" i="4"/>
  <c r="E1076" i="4" s="1"/>
  <c r="N1075" i="4"/>
  <c r="C1075" i="4"/>
  <c r="D1075" i="4" s="1"/>
  <c r="H1075" i="4" s="1"/>
  <c r="B1075" i="4"/>
  <c r="A1075" i="4"/>
  <c r="I1075" i="4"/>
  <c r="E45" i="4"/>
  <c r="N44" i="4"/>
  <c r="F1075" i="4" l="1"/>
  <c r="B45" i="4"/>
  <c r="A45" i="4"/>
  <c r="M45" i="4"/>
  <c r="C45" i="4"/>
  <c r="D45" i="4" s="1"/>
  <c r="H45" i="4" s="1"/>
  <c r="A1076" i="4"/>
  <c r="M1076" i="4"/>
  <c r="C1076" i="4"/>
  <c r="D1076" i="4" s="1"/>
  <c r="H1076" i="4" s="1"/>
  <c r="B1076" i="4"/>
  <c r="A724" i="4"/>
  <c r="B724" i="4"/>
  <c r="M724" i="4"/>
  <c r="C724" i="4"/>
  <c r="D724" i="4" s="1"/>
  <c r="H724" i="4" s="1"/>
  <c r="A384" i="4"/>
  <c r="M384" i="4"/>
  <c r="C384" i="4"/>
  <c r="D384" i="4" s="1"/>
  <c r="H384" i="4" s="1"/>
  <c r="B384" i="4"/>
  <c r="F384" i="4" l="1"/>
  <c r="F45" i="4"/>
  <c r="F724" i="4"/>
  <c r="G724" i="4" s="1"/>
  <c r="G1075" i="4"/>
  <c r="J1075" i="4" s="1"/>
  <c r="O1075" i="4" l="1"/>
  <c r="M1075" i="4"/>
  <c r="O724" i="4"/>
  <c r="L724" i="4"/>
  <c r="J724" i="4"/>
  <c r="I724" i="4"/>
  <c r="K724" i="4" s="1"/>
  <c r="G45" i="4"/>
  <c r="O45" i="4" s="1"/>
  <c r="G384" i="4"/>
  <c r="L384" i="4" s="1"/>
  <c r="J384" i="4" l="1"/>
  <c r="I384" i="4"/>
  <c r="K384" i="4" s="1"/>
  <c r="E385" i="4" s="1"/>
  <c r="O384" i="4"/>
  <c r="E725" i="4"/>
  <c r="N724" i="4"/>
  <c r="I45" i="4"/>
  <c r="K45" i="4" s="1"/>
  <c r="L45" i="4"/>
  <c r="J45" i="4"/>
  <c r="F1076" i="4"/>
  <c r="N384" i="4" l="1"/>
  <c r="G1076" i="4"/>
  <c r="J1076" i="4" s="1"/>
  <c r="E46" i="4"/>
  <c r="N45" i="4"/>
  <c r="B725" i="4"/>
  <c r="C725" i="4"/>
  <c r="D725" i="4" s="1"/>
  <c r="H725" i="4" s="1"/>
  <c r="A725" i="4"/>
  <c r="M725" i="4"/>
  <c r="M385" i="4"/>
  <c r="C385" i="4"/>
  <c r="D385" i="4" s="1"/>
  <c r="H385" i="4" s="1"/>
  <c r="B385" i="4"/>
  <c r="A385" i="4"/>
  <c r="F385" i="4" l="1"/>
  <c r="F725" i="4"/>
  <c r="G725" i="4" s="1"/>
  <c r="C46" i="4"/>
  <c r="D46" i="4" s="1"/>
  <c r="H46" i="4" s="1"/>
  <c r="A46" i="4"/>
  <c r="M46" i="4"/>
  <c r="B46" i="4"/>
  <c r="O1076" i="4"/>
  <c r="L1076" i="4"/>
  <c r="I1076" i="4" s="1"/>
  <c r="K1076" i="4" s="1"/>
  <c r="F46" i="4" l="1"/>
  <c r="G46" i="4" s="1"/>
  <c r="E1077" i="4"/>
  <c r="N1076" i="4"/>
  <c r="L725" i="4"/>
  <c r="J725" i="4"/>
  <c r="O725" i="4"/>
  <c r="I725" i="4"/>
  <c r="K725" i="4" s="1"/>
  <c r="G385" i="4"/>
  <c r="J385" i="4" s="1"/>
  <c r="I385" i="4" l="1"/>
  <c r="K385" i="4" s="1"/>
  <c r="L385" i="4"/>
  <c r="O385" i="4"/>
  <c r="E726" i="4"/>
  <c r="N725" i="4"/>
  <c r="I1077" i="4"/>
  <c r="C1077" i="4"/>
  <c r="D1077" i="4" s="1"/>
  <c r="H1077" i="4" s="1"/>
  <c r="B1077" i="4"/>
  <c r="A1077" i="4"/>
  <c r="N1077" i="4"/>
  <c r="L1077" i="4"/>
  <c r="K1077" i="4"/>
  <c r="E1078" i="4" s="1"/>
  <c r="J46" i="4"/>
  <c r="L46" i="4"/>
  <c r="I46" i="4"/>
  <c r="K46" i="4" s="1"/>
  <c r="O46" i="4"/>
  <c r="F1077" i="4" l="1"/>
  <c r="E47" i="4"/>
  <c r="N46" i="4"/>
  <c r="C1078" i="4"/>
  <c r="D1078" i="4" s="1"/>
  <c r="H1078" i="4" s="1"/>
  <c r="B1078" i="4"/>
  <c r="M1078" i="4"/>
  <c r="A1078" i="4"/>
  <c r="C726" i="4"/>
  <c r="D726" i="4" s="1"/>
  <c r="H726" i="4" s="1"/>
  <c r="M726" i="4"/>
  <c r="B726" i="4"/>
  <c r="A726" i="4"/>
  <c r="E386" i="4"/>
  <c r="N385" i="4"/>
  <c r="F726" i="4" l="1"/>
  <c r="G726" i="4" s="1"/>
  <c r="M386" i="4"/>
  <c r="B386" i="4"/>
  <c r="C386" i="4"/>
  <c r="D386" i="4" s="1"/>
  <c r="H386" i="4" s="1"/>
  <c r="A386" i="4"/>
  <c r="C47" i="4"/>
  <c r="D47" i="4" s="1"/>
  <c r="H47" i="4" s="1"/>
  <c r="A47" i="4"/>
  <c r="M47" i="4"/>
  <c r="B47" i="4"/>
  <c r="G1077" i="4"/>
  <c r="M1077" i="4" s="1"/>
  <c r="F47" i="4" l="1"/>
  <c r="G47" i="4" s="1"/>
  <c r="F1078" i="4"/>
  <c r="F386" i="4"/>
  <c r="G386" i="4" s="1"/>
  <c r="O1077" i="4"/>
  <c r="J1077" i="4"/>
  <c r="J726" i="4"/>
  <c r="I726" i="4"/>
  <c r="K726" i="4" s="1"/>
  <c r="O726" i="4"/>
  <c r="L726" i="4"/>
  <c r="E727" i="4" l="1"/>
  <c r="N726" i="4"/>
  <c r="J386" i="4"/>
  <c r="I386" i="4"/>
  <c r="K386" i="4" s="1"/>
  <c r="L386" i="4"/>
  <c r="O386" i="4"/>
  <c r="G1078" i="4"/>
  <c r="O1078" i="4" s="1"/>
  <c r="L47" i="4"/>
  <c r="I47" i="4"/>
  <c r="K47" i="4" s="1"/>
  <c r="J47" i="4"/>
  <c r="O47" i="4"/>
  <c r="L1078" i="4" l="1"/>
  <c r="I1078" i="4" s="1"/>
  <c r="K1078" i="4" s="1"/>
  <c r="N1078" i="4" s="1"/>
  <c r="E48" i="4"/>
  <c r="N47" i="4"/>
  <c r="E387" i="4"/>
  <c r="N386" i="4"/>
  <c r="J1078" i="4"/>
  <c r="C727" i="4"/>
  <c r="D727" i="4" s="1"/>
  <c r="H727" i="4" s="1"/>
  <c r="B727" i="4"/>
  <c r="A727" i="4"/>
  <c r="M727" i="4"/>
  <c r="E1079" i="4" l="1"/>
  <c r="B1079" i="4" s="1"/>
  <c r="F727" i="4"/>
  <c r="M387" i="4"/>
  <c r="C387" i="4"/>
  <c r="D387" i="4" s="1"/>
  <c r="H387" i="4" s="1"/>
  <c r="B387" i="4"/>
  <c r="A387" i="4"/>
  <c r="C48" i="4"/>
  <c r="D48" i="4" s="1"/>
  <c r="H48" i="4" s="1"/>
  <c r="A48" i="4"/>
  <c r="M48" i="4"/>
  <c r="B48" i="4"/>
  <c r="C1079" i="4" l="1"/>
  <c r="D1079" i="4" s="1"/>
  <c r="H1079" i="4" s="1"/>
  <c r="F1079" i="4" s="1"/>
  <c r="N1079" i="4"/>
  <c r="I1079" i="4"/>
  <c r="K1079" i="4"/>
  <c r="E1080" i="4" s="1"/>
  <c r="L1079" i="4"/>
  <c r="A1079" i="4"/>
  <c r="F48" i="4"/>
  <c r="F387" i="4"/>
  <c r="G387" i="4" s="1"/>
  <c r="M1080" i="4"/>
  <c r="C1080" i="4"/>
  <c r="B1080" i="4"/>
  <c r="A1080" i="4"/>
  <c r="G727" i="4"/>
  <c r="J727" i="4" s="1"/>
  <c r="D1080" i="4" l="1"/>
  <c r="H1080" i="4" s="1"/>
  <c r="O727" i="4"/>
  <c r="O387" i="4"/>
  <c r="L387" i="4"/>
  <c r="I387" i="4"/>
  <c r="K387" i="4" s="1"/>
  <c r="J387" i="4"/>
  <c r="L727" i="4"/>
  <c r="I727" i="4"/>
  <c r="K727" i="4" s="1"/>
  <c r="G48" i="4"/>
  <c r="J48" i="4" s="1"/>
  <c r="G1079" i="4"/>
  <c r="J1079" i="4" s="1"/>
  <c r="I48" i="4" l="1"/>
  <c r="K48" i="4" s="1"/>
  <c r="O48" i="4"/>
  <c r="L48" i="4"/>
  <c r="E388" i="4"/>
  <c r="N387" i="4"/>
  <c r="O1079" i="4"/>
  <c r="E728" i="4"/>
  <c r="N727" i="4"/>
  <c r="M1079" i="4"/>
  <c r="F1080" i="4" l="1"/>
  <c r="G1080" i="4" s="1"/>
  <c r="A728" i="4"/>
  <c r="C728" i="4"/>
  <c r="D728" i="4" s="1"/>
  <c r="H728" i="4" s="1"/>
  <c r="B728" i="4"/>
  <c r="M728" i="4"/>
  <c r="M388" i="4"/>
  <c r="C388" i="4"/>
  <c r="D388" i="4" s="1"/>
  <c r="H388" i="4" s="1"/>
  <c r="B388" i="4"/>
  <c r="A388" i="4"/>
  <c r="E49" i="4"/>
  <c r="N48" i="4"/>
  <c r="F388" i="4" l="1"/>
  <c r="G388" i="4" s="1"/>
  <c r="F728" i="4"/>
  <c r="C49" i="4"/>
  <c r="D49" i="4" s="1"/>
  <c r="H49" i="4" s="1"/>
  <c r="A49" i="4"/>
  <c r="M49" i="4"/>
  <c r="B49" i="4"/>
  <c r="J1080" i="4"/>
  <c r="O1080" i="4"/>
  <c r="L1080" i="4"/>
  <c r="I1080" i="4" s="1"/>
  <c r="K1080" i="4" s="1"/>
  <c r="F49" i="4" l="1"/>
  <c r="E1081" i="4"/>
  <c r="N1080" i="4"/>
  <c r="G728" i="4"/>
  <c r="J728" i="4" s="1"/>
  <c r="J388" i="4"/>
  <c r="I388" i="4"/>
  <c r="K388" i="4" s="1"/>
  <c r="O388" i="4"/>
  <c r="L388" i="4"/>
  <c r="E389" i="4" l="1"/>
  <c r="N388" i="4"/>
  <c r="I728" i="4"/>
  <c r="K728" i="4" s="1"/>
  <c r="L728" i="4"/>
  <c r="O728" i="4"/>
  <c r="N1081" i="4"/>
  <c r="L1081" i="4"/>
  <c r="K1081" i="4"/>
  <c r="E1082" i="4" s="1"/>
  <c r="I1081" i="4"/>
  <c r="A1081" i="4"/>
  <c r="C1081" i="4"/>
  <c r="D1081" i="4" s="1"/>
  <c r="H1081" i="4" s="1"/>
  <c r="B1081" i="4"/>
  <c r="G49" i="4"/>
  <c r="O49" i="4" s="1"/>
  <c r="F1081" i="4" l="1"/>
  <c r="L49" i="4"/>
  <c r="J49" i="4"/>
  <c r="C1082" i="4"/>
  <c r="D1082" i="4" s="1"/>
  <c r="H1082" i="4" s="1"/>
  <c r="M1082" i="4"/>
  <c r="B1082" i="4"/>
  <c r="A1082" i="4"/>
  <c r="E729" i="4"/>
  <c r="N728" i="4"/>
  <c r="I49" i="4"/>
  <c r="K49" i="4" s="1"/>
  <c r="M389" i="4"/>
  <c r="C389" i="4"/>
  <c r="D389" i="4" s="1"/>
  <c r="H389" i="4" s="1"/>
  <c r="B389" i="4"/>
  <c r="A389" i="4"/>
  <c r="F389" i="4" l="1"/>
  <c r="C729" i="4"/>
  <c r="D729" i="4" s="1"/>
  <c r="H729" i="4" s="1"/>
  <c r="A729" i="4"/>
  <c r="B729" i="4"/>
  <c r="M729" i="4"/>
  <c r="E50" i="4"/>
  <c r="N49" i="4"/>
  <c r="G1081" i="4"/>
  <c r="M1081" i="4" s="1"/>
  <c r="F1082" i="4" l="1"/>
  <c r="F729" i="4"/>
  <c r="J1081" i="4"/>
  <c r="B50" i="4"/>
  <c r="A50" i="4"/>
  <c r="M50" i="4"/>
  <c r="C50" i="4"/>
  <c r="D50" i="4" s="1"/>
  <c r="H50" i="4" s="1"/>
  <c r="O1081" i="4"/>
  <c r="G389" i="4"/>
  <c r="L389" i="4" s="1"/>
  <c r="F50" i="4" l="1"/>
  <c r="J389" i="4"/>
  <c r="O389" i="4"/>
  <c r="I389" i="4"/>
  <c r="K389" i="4" s="1"/>
  <c r="G729" i="4"/>
  <c r="L729" i="4" s="1"/>
  <c r="G1082" i="4"/>
  <c r="J1082" i="4" s="1"/>
  <c r="L1082" i="4" l="1"/>
  <c r="I1082" i="4" s="1"/>
  <c r="K1082" i="4" s="1"/>
  <c r="J729" i="4"/>
  <c r="O729" i="4"/>
  <c r="I729" i="4"/>
  <c r="K729" i="4" s="1"/>
  <c r="O1082" i="4"/>
  <c r="E390" i="4"/>
  <c r="N389" i="4"/>
  <c r="G50" i="4"/>
  <c r="I50" i="4" s="1"/>
  <c r="K50" i="4" s="1"/>
  <c r="E51" i="4" l="1"/>
  <c r="N50" i="4"/>
  <c r="L50" i="4"/>
  <c r="O50" i="4"/>
  <c r="B390" i="4"/>
  <c r="A390" i="4"/>
  <c r="C390" i="4"/>
  <c r="D390" i="4" s="1"/>
  <c r="H390" i="4" s="1"/>
  <c r="M390" i="4"/>
  <c r="J50" i="4"/>
  <c r="E730" i="4"/>
  <c r="N729" i="4"/>
  <c r="E1083" i="4"/>
  <c r="N1082" i="4"/>
  <c r="F390" i="4" l="1"/>
  <c r="G390" i="4" s="1"/>
  <c r="C1083" i="4"/>
  <c r="D1083" i="4" s="1"/>
  <c r="H1083" i="4" s="1"/>
  <c r="B1083" i="4"/>
  <c r="A1083" i="4"/>
  <c r="N1083" i="4"/>
  <c r="L1083" i="4"/>
  <c r="K1083" i="4"/>
  <c r="E1084" i="4" s="1"/>
  <c r="I1083" i="4"/>
  <c r="B730" i="4"/>
  <c r="A730" i="4"/>
  <c r="M730" i="4"/>
  <c r="C730" i="4"/>
  <c r="D730" i="4" s="1"/>
  <c r="H730" i="4" s="1"/>
  <c r="A51" i="4"/>
  <c r="B51" i="4"/>
  <c r="M51" i="4"/>
  <c r="C51" i="4"/>
  <c r="D51" i="4" s="1"/>
  <c r="H51" i="4" s="1"/>
  <c r="F730" i="4" l="1"/>
  <c r="F51" i="4"/>
  <c r="F1083" i="4"/>
  <c r="C1084" i="4"/>
  <c r="D1084" i="4" s="1"/>
  <c r="H1084" i="4" s="1"/>
  <c r="B1084" i="4"/>
  <c r="A1084" i="4"/>
  <c r="M1084" i="4"/>
  <c r="L390" i="4"/>
  <c r="J390" i="4"/>
  <c r="I390" i="4"/>
  <c r="K390" i="4" s="1"/>
  <c r="O390" i="4"/>
  <c r="E391" i="4" l="1"/>
  <c r="N390" i="4"/>
  <c r="G1083" i="4"/>
  <c r="O1083" i="4" s="1"/>
  <c r="G51" i="4"/>
  <c r="L51" i="4" s="1"/>
  <c r="G730" i="4"/>
  <c r="J730" i="4" s="1"/>
  <c r="L730" i="4" l="1"/>
  <c r="O51" i="4"/>
  <c r="I51" i="4"/>
  <c r="K51" i="4" s="1"/>
  <c r="J51" i="4"/>
  <c r="M1083" i="4"/>
  <c r="I730" i="4"/>
  <c r="K730" i="4" s="1"/>
  <c r="J1083" i="4"/>
  <c r="O730" i="4"/>
  <c r="C391" i="4"/>
  <c r="D391" i="4" s="1"/>
  <c r="H391" i="4" s="1"/>
  <c r="A391" i="4"/>
  <c r="M391" i="4"/>
  <c r="B391" i="4"/>
  <c r="F391" i="4" l="1"/>
  <c r="G391" i="4" s="1"/>
  <c r="E731" i="4"/>
  <c r="N730" i="4"/>
  <c r="F1084" i="4"/>
  <c r="E52" i="4"/>
  <c r="N51" i="4"/>
  <c r="B52" i="4" l="1"/>
  <c r="A52" i="4"/>
  <c r="M52" i="4"/>
  <c r="C52" i="4"/>
  <c r="D52" i="4" s="1"/>
  <c r="H52" i="4" s="1"/>
  <c r="G1084" i="4"/>
  <c r="O1084" i="4" s="1"/>
  <c r="M731" i="4"/>
  <c r="C731" i="4"/>
  <c r="D731" i="4" s="1"/>
  <c r="H731" i="4" s="1"/>
  <c r="B731" i="4"/>
  <c r="A731" i="4"/>
  <c r="L391" i="4"/>
  <c r="J391" i="4"/>
  <c r="I391" i="4"/>
  <c r="K391" i="4" s="1"/>
  <c r="O391" i="4"/>
  <c r="F731" i="4" l="1"/>
  <c r="F52" i="4"/>
  <c r="E392" i="4"/>
  <c r="N391" i="4"/>
  <c r="L1084" i="4"/>
  <c r="I1084" i="4" s="1"/>
  <c r="K1084" i="4" s="1"/>
  <c r="J1084" i="4"/>
  <c r="C392" i="4" l="1"/>
  <c r="D392" i="4" s="1"/>
  <c r="H392" i="4" s="1"/>
  <c r="M392" i="4"/>
  <c r="A392" i="4"/>
  <c r="B392" i="4"/>
  <c r="E1085" i="4"/>
  <c r="N1084" i="4"/>
  <c r="G52" i="4"/>
  <c r="J52" i="4" s="1"/>
  <c r="G731" i="4"/>
  <c r="L731" i="4" s="1"/>
  <c r="F392" i="4" l="1"/>
  <c r="J731" i="4"/>
  <c r="O731" i="4"/>
  <c r="I731" i="4"/>
  <c r="K731" i="4" s="1"/>
  <c r="I52" i="4"/>
  <c r="K52" i="4" s="1"/>
  <c r="O52" i="4"/>
  <c r="L52" i="4"/>
  <c r="B1085" i="4"/>
  <c r="A1085" i="4"/>
  <c r="N1085" i="4"/>
  <c r="C1085" i="4"/>
  <c r="D1085" i="4" s="1"/>
  <c r="H1085" i="4" s="1"/>
  <c r="F1085" i="4" s="1"/>
  <c r="L1085" i="4"/>
  <c r="K1085" i="4"/>
  <c r="E1086" i="4" s="1"/>
  <c r="I1085" i="4"/>
  <c r="G1085" i="4" l="1"/>
  <c r="M1085" i="4" s="1"/>
  <c r="E732" i="4"/>
  <c r="N731" i="4"/>
  <c r="E53" i="4"/>
  <c r="N52" i="4"/>
  <c r="A1086" i="4"/>
  <c r="M1086" i="4"/>
  <c r="C1086" i="4"/>
  <c r="D1086" i="4" s="1"/>
  <c r="H1086" i="4" s="1"/>
  <c r="B1086" i="4"/>
  <c r="G392" i="4"/>
  <c r="L392" i="4" s="1"/>
  <c r="F1086" i="4" l="1"/>
  <c r="O392" i="4"/>
  <c r="J392" i="4"/>
  <c r="I392" i="4"/>
  <c r="K392" i="4" s="1"/>
  <c r="O1085" i="4"/>
  <c r="J1085" i="4"/>
  <c r="M53" i="4"/>
  <c r="B53" i="4"/>
  <c r="A53" i="4"/>
  <c r="C53" i="4"/>
  <c r="D53" i="4" s="1"/>
  <c r="H53" i="4" s="1"/>
  <c r="M732" i="4"/>
  <c r="C732" i="4"/>
  <c r="D732" i="4" s="1"/>
  <c r="H732" i="4" s="1"/>
  <c r="B732" i="4"/>
  <c r="A732" i="4"/>
  <c r="F732" i="4" l="1"/>
  <c r="F53" i="4"/>
  <c r="G53" i="4"/>
  <c r="E393" i="4"/>
  <c r="N392" i="4"/>
  <c r="G1086" i="4"/>
  <c r="L1086" i="4" s="1"/>
  <c r="I1086" i="4" s="1"/>
  <c r="K1086" i="4" s="1"/>
  <c r="E1087" i="4" l="1"/>
  <c r="N1086" i="4"/>
  <c r="O1086" i="4"/>
  <c r="C393" i="4"/>
  <c r="D393" i="4" s="1"/>
  <c r="H393" i="4" s="1"/>
  <c r="B393" i="4"/>
  <c r="A393" i="4"/>
  <c r="M393" i="4"/>
  <c r="J1086" i="4"/>
  <c r="O53" i="4"/>
  <c r="L53" i="4"/>
  <c r="I53" i="4"/>
  <c r="K53" i="4" s="1"/>
  <c r="J53" i="4"/>
  <c r="G732" i="4"/>
  <c r="L732" i="4" s="1"/>
  <c r="F393" i="4" l="1"/>
  <c r="G393" i="4" s="1"/>
  <c r="I732" i="4"/>
  <c r="K732" i="4" s="1"/>
  <c r="J732" i="4"/>
  <c r="O732" i="4"/>
  <c r="E54" i="4"/>
  <c r="N53" i="4"/>
  <c r="N1087" i="4"/>
  <c r="L1087" i="4"/>
  <c r="K1087" i="4"/>
  <c r="E1088" i="4" s="1"/>
  <c r="I1087" i="4"/>
  <c r="C1087" i="4"/>
  <c r="D1087" i="4" s="1"/>
  <c r="H1087" i="4" s="1"/>
  <c r="B1087" i="4"/>
  <c r="A1087" i="4"/>
  <c r="F1087" i="4" l="1"/>
  <c r="M1088" i="4"/>
  <c r="C1088" i="4"/>
  <c r="D1088" i="4" s="1"/>
  <c r="H1088" i="4" s="1"/>
  <c r="B1088" i="4"/>
  <c r="A1088" i="4"/>
  <c r="B54" i="4"/>
  <c r="A54" i="4"/>
  <c r="C54" i="4"/>
  <c r="D54" i="4" s="1"/>
  <c r="H54" i="4" s="1"/>
  <c r="M54" i="4"/>
  <c r="E733" i="4"/>
  <c r="N732" i="4"/>
  <c r="L393" i="4"/>
  <c r="I393" i="4"/>
  <c r="K393" i="4" s="1"/>
  <c r="J393" i="4"/>
  <c r="O393" i="4"/>
  <c r="F54" i="4" l="1"/>
  <c r="E394" i="4"/>
  <c r="N393" i="4"/>
  <c r="C733" i="4"/>
  <c r="D733" i="4" s="1"/>
  <c r="H733" i="4" s="1"/>
  <c r="M733" i="4"/>
  <c r="B733" i="4"/>
  <c r="A733" i="4"/>
  <c r="G1087" i="4"/>
  <c r="M1087" i="4" s="1"/>
  <c r="F1088" i="4" l="1"/>
  <c r="G1088" i="4" s="1"/>
  <c r="F733" i="4"/>
  <c r="G733" i="4" s="1"/>
  <c r="J1087" i="4"/>
  <c r="O1087" i="4"/>
  <c r="C394" i="4"/>
  <c r="D394" i="4" s="1"/>
  <c r="H394" i="4" s="1"/>
  <c r="M394" i="4"/>
  <c r="B394" i="4"/>
  <c r="A394" i="4"/>
  <c r="G54" i="4"/>
  <c r="J54" i="4" s="1"/>
  <c r="F394" i="4" l="1"/>
  <c r="O54" i="4"/>
  <c r="I54" i="4"/>
  <c r="K54" i="4" s="1"/>
  <c r="L54" i="4"/>
  <c r="O733" i="4"/>
  <c r="L733" i="4"/>
  <c r="J733" i="4"/>
  <c r="I733" i="4"/>
  <c r="K733" i="4" s="1"/>
  <c r="J1088" i="4"/>
  <c r="O1088" i="4"/>
  <c r="L1088" i="4"/>
  <c r="I1088" i="4" s="1"/>
  <c r="K1088" i="4" s="1"/>
  <c r="E1089" i="4" l="1"/>
  <c r="N1088" i="4"/>
  <c r="E734" i="4"/>
  <c r="N733" i="4"/>
  <c r="E55" i="4"/>
  <c r="N54" i="4"/>
  <c r="G394" i="4"/>
  <c r="I394" i="4" s="1"/>
  <c r="K394" i="4" s="1"/>
  <c r="E395" i="4" l="1"/>
  <c r="N394" i="4"/>
  <c r="J394" i="4"/>
  <c r="L394" i="4"/>
  <c r="O394" i="4"/>
  <c r="B55" i="4"/>
  <c r="A55" i="4"/>
  <c r="C55" i="4"/>
  <c r="D55" i="4" s="1"/>
  <c r="H55" i="4" s="1"/>
  <c r="M55" i="4"/>
  <c r="B734" i="4"/>
  <c r="C734" i="4"/>
  <c r="D734" i="4" s="1"/>
  <c r="H734" i="4" s="1"/>
  <c r="A734" i="4"/>
  <c r="M734" i="4"/>
  <c r="L1089" i="4"/>
  <c r="K1089" i="4"/>
  <c r="E1090" i="4" s="1"/>
  <c r="B1089" i="4"/>
  <c r="A1089" i="4"/>
  <c r="N1089" i="4"/>
  <c r="I1089" i="4"/>
  <c r="C1089" i="4"/>
  <c r="D1089" i="4" s="1"/>
  <c r="H1089" i="4" s="1"/>
  <c r="F734" i="4" l="1"/>
  <c r="F1089" i="4"/>
  <c r="F55" i="4"/>
  <c r="C1090" i="4"/>
  <c r="D1090" i="4" s="1"/>
  <c r="H1090" i="4" s="1"/>
  <c r="B1090" i="4"/>
  <c r="A1090" i="4"/>
  <c r="M1090" i="4"/>
  <c r="C395" i="4"/>
  <c r="D395" i="4" s="1"/>
  <c r="H395" i="4" s="1"/>
  <c r="B395" i="4"/>
  <c r="M395" i="4"/>
  <c r="A395" i="4"/>
  <c r="F395" i="4" l="1"/>
  <c r="G55" i="4"/>
  <c r="J55" i="4" s="1"/>
  <c r="G1089" i="4"/>
  <c r="J1089" i="4" s="1"/>
  <c r="G734" i="4"/>
  <c r="O734" i="4" s="1"/>
  <c r="L734" i="4" l="1"/>
  <c r="O1089" i="4"/>
  <c r="I734" i="4"/>
  <c r="K734" i="4" s="1"/>
  <c r="E735" i="4" s="1"/>
  <c r="M1089" i="4"/>
  <c r="I55" i="4"/>
  <c r="K55" i="4" s="1"/>
  <c r="O55" i="4"/>
  <c r="L55" i="4"/>
  <c r="J734" i="4"/>
  <c r="F1090" i="4"/>
  <c r="G395" i="4"/>
  <c r="L395" i="4" s="1"/>
  <c r="N734" i="4" l="1"/>
  <c r="J395" i="4"/>
  <c r="O395" i="4"/>
  <c r="I395" i="4"/>
  <c r="K395" i="4" s="1"/>
  <c r="G1090" i="4"/>
  <c r="L1090" i="4" s="1"/>
  <c r="I1090" i="4" s="1"/>
  <c r="K1090" i="4" s="1"/>
  <c r="A735" i="4"/>
  <c r="M735" i="4"/>
  <c r="B735" i="4"/>
  <c r="C735" i="4"/>
  <c r="D735" i="4" s="1"/>
  <c r="H735" i="4" s="1"/>
  <c r="E56" i="4"/>
  <c r="N55" i="4"/>
  <c r="O1090" i="4" l="1"/>
  <c r="J1090" i="4"/>
  <c r="F735" i="4"/>
  <c r="G735" i="4" s="1"/>
  <c r="E1091" i="4"/>
  <c r="N1090" i="4"/>
  <c r="C56" i="4"/>
  <c r="D56" i="4" s="1"/>
  <c r="H56" i="4" s="1"/>
  <c r="B56" i="4"/>
  <c r="A56" i="4"/>
  <c r="M56" i="4"/>
  <c r="E396" i="4"/>
  <c r="N395" i="4"/>
  <c r="F56" i="4" l="1"/>
  <c r="G56" i="4" s="1"/>
  <c r="C396" i="4"/>
  <c r="D396" i="4" s="1"/>
  <c r="H396" i="4" s="1"/>
  <c r="B396" i="4"/>
  <c r="A396" i="4"/>
  <c r="M396" i="4"/>
  <c r="I1091" i="4"/>
  <c r="C1091" i="4"/>
  <c r="D1091" i="4" s="1"/>
  <c r="H1091" i="4" s="1"/>
  <c r="B1091" i="4"/>
  <c r="A1091" i="4"/>
  <c r="N1091" i="4"/>
  <c r="L1091" i="4"/>
  <c r="K1091" i="4"/>
  <c r="E1092" i="4" s="1"/>
  <c r="L735" i="4"/>
  <c r="O735" i="4"/>
  <c r="J735" i="4"/>
  <c r="I735" i="4"/>
  <c r="K735" i="4" s="1"/>
  <c r="F1091" i="4" l="1"/>
  <c r="F396" i="4"/>
  <c r="E736" i="4"/>
  <c r="N735" i="4"/>
  <c r="C1092" i="4"/>
  <c r="D1092" i="4" s="1"/>
  <c r="H1092" i="4" s="1"/>
  <c r="B1092" i="4"/>
  <c r="A1092" i="4"/>
  <c r="M1092" i="4"/>
  <c r="L56" i="4"/>
  <c r="J56" i="4"/>
  <c r="O56" i="4"/>
  <c r="I56" i="4"/>
  <c r="K56" i="4" s="1"/>
  <c r="E57" i="4" l="1"/>
  <c r="N56" i="4"/>
  <c r="M736" i="4"/>
  <c r="C736" i="4"/>
  <c r="D736" i="4" s="1"/>
  <c r="H736" i="4" s="1"/>
  <c r="B736" i="4"/>
  <c r="A736" i="4"/>
  <c r="G396" i="4"/>
  <c r="I396" i="4" s="1"/>
  <c r="K396" i="4" s="1"/>
  <c r="G1091" i="4"/>
  <c r="M1091" i="4" s="1"/>
  <c r="F1092" i="4" l="1"/>
  <c r="G1092" i="4" s="1"/>
  <c r="E397" i="4"/>
  <c r="N396" i="4"/>
  <c r="F736" i="4"/>
  <c r="J1091" i="4"/>
  <c r="O1091" i="4"/>
  <c r="J396" i="4"/>
  <c r="O396" i="4"/>
  <c r="L396" i="4"/>
  <c r="C57" i="4"/>
  <c r="D57" i="4" s="1"/>
  <c r="H57" i="4" s="1"/>
  <c r="B57" i="4"/>
  <c r="A57" i="4"/>
  <c r="M57" i="4"/>
  <c r="F57" i="4" l="1"/>
  <c r="G57" i="4" s="1"/>
  <c r="B397" i="4"/>
  <c r="A397" i="4"/>
  <c r="C397" i="4"/>
  <c r="D397" i="4" s="1"/>
  <c r="H397" i="4" s="1"/>
  <c r="M397" i="4"/>
  <c r="J1092" i="4"/>
  <c r="O1092" i="4"/>
  <c r="G736" i="4"/>
  <c r="I736" i="4" s="1"/>
  <c r="K736" i="4" s="1"/>
  <c r="L1092" i="4"/>
  <c r="I1092" i="4" s="1"/>
  <c r="K1092" i="4" s="1"/>
  <c r="F397" i="4" l="1"/>
  <c r="E737" i="4"/>
  <c r="N736" i="4"/>
  <c r="E1093" i="4"/>
  <c r="N1092" i="4"/>
  <c r="L736" i="4"/>
  <c r="O736" i="4"/>
  <c r="J736" i="4"/>
  <c r="O57" i="4"/>
  <c r="I57" i="4"/>
  <c r="K57" i="4" s="1"/>
  <c r="J57" i="4"/>
  <c r="L57" i="4"/>
  <c r="G397" i="4" l="1"/>
  <c r="E58" i="4"/>
  <c r="N57" i="4"/>
  <c r="L1093" i="4"/>
  <c r="K1093" i="4"/>
  <c r="E1094" i="4" s="1"/>
  <c r="I1093" i="4"/>
  <c r="N1093" i="4"/>
  <c r="C1093" i="4"/>
  <c r="D1093" i="4" s="1"/>
  <c r="H1093" i="4" s="1"/>
  <c r="B1093" i="4"/>
  <c r="A1093" i="4"/>
  <c r="M737" i="4"/>
  <c r="A737" i="4"/>
  <c r="C737" i="4"/>
  <c r="D737" i="4" s="1"/>
  <c r="H737" i="4" s="1"/>
  <c r="B737" i="4"/>
  <c r="I397" i="4" l="1"/>
  <c r="K397" i="4" s="1"/>
  <c r="O397" i="4"/>
  <c r="L397" i="4"/>
  <c r="J397" i="4"/>
  <c r="F737" i="4"/>
  <c r="G737" i="4" s="1"/>
  <c r="F1093" i="4"/>
  <c r="G1093" i="4" s="1"/>
  <c r="M1094" i="4"/>
  <c r="C1094" i="4"/>
  <c r="D1094" i="4" s="1"/>
  <c r="H1094" i="4" s="1"/>
  <c r="B1094" i="4"/>
  <c r="A1094" i="4"/>
  <c r="C58" i="4"/>
  <c r="D58" i="4" s="1"/>
  <c r="H58" i="4" s="1"/>
  <c r="B58" i="4"/>
  <c r="A58" i="4"/>
  <c r="M58" i="4"/>
  <c r="E398" i="4" l="1"/>
  <c r="N397" i="4"/>
  <c r="F58" i="4"/>
  <c r="J1093" i="4"/>
  <c r="M1093" i="4"/>
  <c r="O1093" i="4"/>
  <c r="L737" i="4"/>
  <c r="I737" i="4"/>
  <c r="K737" i="4" s="1"/>
  <c r="J737" i="4"/>
  <c r="O737" i="4"/>
  <c r="A398" i="4" l="1"/>
  <c r="M398" i="4"/>
  <c r="C398" i="4"/>
  <c r="D398" i="4" s="1"/>
  <c r="H398" i="4" s="1"/>
  <c r="B398" i="4"/>
  <c r="F1094" i="4"/>
  <c r="E738" i="4"/>
  <c r="N737" i="4"/>
  <c r="G1094" i="4"/>
  <c r="G58" i="4"/>
  <c r="L58" i="4" s="1"/>
  <c r="O58" i="4" l="1"/>
  <c r="I58" i="4"/>
  <c r="K58" i="4" s="1"/>
  <c r="N58" i="4" s="1"/>
  <c r="J58" i="4"/>
  <c r="F398" i="4"/>
  <c r="B738" i="4"/>
  <c r="C738" i="4"/>
  <c r="D738" i="4" s="1"/>
  <c r="H738" i="4" s="1"/>
  <c r="A738" i="4"/>
  <c r="M738" i="4"/>
  <c r="O1094" i="4"/>
  <c r="J1094" i="4"/>
  <c r="E59" i="4"/>
  <c r="L1094" i="4"/>
  <c r="I1094" i="4" s="1"/>
  <c r="K1094" i="4" s="1"/>
  <c r="G398" i="4" l="1"/>
  <c r="L398" i="4" s="1"/>
  <c r="F738" i="4"/>
  <c r="E1095" i="4"/>
  <c r="N1094" i="4"/>
  <c r="C59" i="4"/>
  <c r="D59" i="4" s="1"/>
  <c r="H59" i="4" s="1"/>
  <c r="B59" i="4"/>
  <c r="A59" i="4"/>
  <c r="M59" i="4"/>
  <c r="J398" i="4" l="1"/>
  <c r="O398" i="4"/>
  <c r="I398" i="4"/>
  <c r="K398" i="4" s="1"/>
  <c r="F59" i="4"/>
  <c r="G59" i="4"/>
  <c r="N1095" i="4"/>
  <c r="L1095" i="4"/>
  <c r="K1095" i="4"/>
  <c r="E1096" i="4" s="1"/>
  <c r="I1095" i="4"/>
  <c r="A1095" i="4"/>
  <c r="C1095" i="4"/>
  <c r="D1095" i="4" s="1"/>
  <c r="H1095" i="4" s="1"/>
  <c r="B1095" i="4"/>
  <c r="G738" i="4"/>
  <c r="I738" i="4" s="1"/>
  <c r="K738" i="4" s="1"/>
  <c r="E399" i="4" l="1"/>
  <c r="N398" i="4"/>
  <c r="F1095" i="4"/>
  <c r="G1095" i="4" s="1"/>
  <c r="E739" i="4"/>
  <c r="N738" i="4"/>
  <c r="J738" i="4"/>
  <c r="C1096" i="4"/>
  <c r="D1096" i="4" s="1"/>
  <c r="H1096" i="4" s="1"/>
  <c r="B1096" i="4"/>
  <c r="A1096" i="4"/>
  <c r="M1096" i="4"/>
  <c r="O738" i="4"/>
  <c r="L738" i="4"/>
  <c r="I59" i="4"/>
  <c r="K59" i="4" s="1"/>
  <c r="O59" i="4"/>
  <c r="J59" i="4"/>
  <c r="L59" i="4"/>
  <c r="C399" i="4" l="1"/>
  <c r="D399" i="4" s="1"/>
  <c r="H399" i="4" s="1"/>
  <c r="F399" i="4" s="1"/>
  <c r="B399" i="4"/>
  <c r="M399" i="4"/>
  <c r="A399" i="4"/>
  <c r="E60" i="4"/>
  <c r="N59" i="4"/>
  <c r="C739" i="4"/>
  <c r="D739" i="4" s="1"/>
  <c r="H739" i="4" s="1"/>
  <c r="B739" i="4"/>
  <c r="A739" i="4"/>
  <c r="M739" i="4"/>
  <c r="O1095" i="4"/>
  <c r="M1095" i="4"/>
  <c r="J1095" i="4"/>
  <c r="G399" i="4" l="1"/>
  <c r="L399" i="4" s="1"/>
  <c r="F739" i="4"/>
  <c r="O399" i="4"/>
  <c r="C60" i="4"/>
  <c r="D60" i="4" s="1"/>
  <c r="H60" i="4" s="1"/>
  <c r="B60" i="4"/>
  <c r="A60" i="4"/>
  <c r="M60" i="4"/>
  <c r="I399" i="4"/>
  <c r="K399" i="4" s="1"/>
  <c r="J399" i="4"/>
  <c r="F1096" i="4"/>
  <c r="G1096" i="4" l="1"/>
  <c r="L1096" i="4" s="1"/>
  <c r="I1096" i="4" s="1"/>
  <c r="K1096" i="4" s="1"/>
  <c r="F60" i="4"/>
  <c r="E400" i="4"/>
  <c r="N399" i="4"/>
  <c r="O1096" i="4"/>
  <c r="J1096" i="4"/>
  <c r="G739" i="4"/>
  <c r="I739" i="4" s="1"/>
  <c r="K739" i="4" s="1"/>
  <c r="E1097" i="4" l="1"/>
  <c r="N1096" i="4"/>
  <c r="E740" i="4"/>
  <c r="N739" i="4"/>
  <c r="J739" i="4"/>
  <c r="O739" i="4"/>
  <c r="M400" i="4"/>
  <c r="C400" i="4"/>
  <c r="D400" i="4" s="1"/>
  <c r="H400" i="4" s="1"/>
  <c r="B400" i="4"/>
  <c r="A400" i="4"/>
  <c r="L739" i="4"/>
  <c r="G60" i="4"/>
  <c r="I60" i="4" s="1"/>
  <c r="K60" i="4" s="1"/>
  <c r="C1097" i="4"/>
  <c r="D1097" i="4" s="1"/>
  <c r="H1097" i="4" s="1"/>
  <c r="B1097" i="4"/>
  <c r="A1097" i="4"/>
  <c r="N1097" i="4"/>
  <c r="L1097" i="4"/>
  <c r="K1097" i="4"/>
  <c r="E1098" i="4" s="1"/>
  <c r="I1097" i="4"/>
  <c r="F1097" i="4" l="1"/>
  <c r="G1097" i="4" s="1"/>
  <c r="E61" i="4"/>
  <c r="N60" i="4"/>
  <c r="F400" i="4"/>
  <c r="C1098" i="4"/>
  <c r="D1098" i="4" s="1"/>
  <c r="H1098" i="4" s="1"/>
  <c r="B1098" i="4"/>
  <c r="A1098" i="4"/>
  <c r="M1098" i="4"/>
  <c r="O60" i="4"/>
  <c r="L60" i="4"/>
  <c r="J60" i="4"/>
  <c r="M740" i="4"/>
  <c r="C740" i="4"/>
  <c r="D740" i="4" s="1"/>
  <c r="H740" i="4" s="1"/>
  <c r="B740" i="4"/>
  <c r="A740" i="4"/>
  <c r="F740" i="4" l="1"/>
  <c r="G400" i="4"/>
  <c r="L400" i="4" s="1"/>
  <c r="C61" i="4"/>
  <c r="D61" i="4" s="1"/>
  <c r="H61" i="4" s="1"/>
  <c r="B61" i="4"/>
  <c r="A61" i="4"/>
  <c r="M61" i="4"/>
  <c r="O1097" i="4"/>
  <c r="M1097" i="4"/>
  <c r="J1097" i="4"/>
  <c r="F61" i="4" l="1"/>
  <c r="O400" i="4"/>
  <c r="J400" i="4"/>
  <c r="I400" i="4"/>
  <c r="K400" i="4" s="1"/>
  <c r="G740" i="4"/>
  <c r="J740" i="4" s="1"/>
  <c r="F1098" i="4"/>
  <c r="G1098" i="4" l="1"/>
  <c r="O1098" i="4" s="1"/>
  <c r="O740" i="4"/>
  <c r="E401" i="4"/>
  <c r="N400" i="4"/>
  <c r="I740" i="4"/>
  <c r="K740" i="4" s="1"/>
  <c r="L740" i="4"/>
  <c r="L1098" i="4"/>
  <c r="I1098" i="4" s="1"/>
  <c r="K1098" i="4" s="1"/>
  <c r="G61" i="4"/>
  <c r="O61" i="4" s="1"/>
  <c r="L61" i="4" l="1"/>
  <c r="E1099" i="4"/>
  <c r="N1098" i="4"/>
  <c r="J61" i="4"/>
  <c r="I61" i="4"/>
  <c r="K61" i="4" s="1"/>
  <c r="M401" i="4"/>
  <c r="A401" i="4"/>
  <c r="C401" i="4"/>
  <c r="D401" i="4" s="1"/>
  <c r="H401" i="4" s="1"/>
  <c r="B401" i="4"/>
  <c r="J1098" i="4"/>
  <c r="E741" i="4"/>
  <c r="N740" i="4"/>
  <c r="F401" i="4" l="1"/>
  <c r="M741" i="4"/>
  <c r="C741" i="4"/>
  <c r="D741" i="4" s="1"/>
  <c r="H741" i="4" s="1"/>
  <c r="B741" i="4"/>
  <c r="A741" i="4"/>
  <c r="E62" i="4"/>
  <c r="N61" i="4"/>
  <c r="B1099" i="4"/>
  <c r="A1099" i="4"/>
  <c r="N1099" i="4"/>
  <c r="K1099" i="4"/>
  <c r="E1100" i="4" s="1"/>
  <c r="I1099" i="4"/>
  <c r="L1099" i="4"/>
  <c r="C1099" i="4"/>
  <c r="D1099" i="4" s="1"/>
  <c r="H1099" i="4" s="1"/>
  <c r="F1099" i="4" l="1"/>
  <c r="F741" i="4"/>
  <c r="G741" i="4" s="1"/>
  <c r="C62" i="4"/>
  <c r="D62" i="4" s="1"/>
  <c r="H62" i="4" s="1"/>
  <c r="B62" i="4"/>
  <c r="A62" i="4"/>
  <c r="M62" i="4"/>
  <c r="A1100" i="4"/>
  <c r="M1100" i="4"/>
  <c r="C1100" i="4"/>
  <c r="D1100" i="4" s="1"/>
  <c r="H1100" i="4" s="1"/>
  <c r="B1100" i="4"/>
  <c r="G401" i="4"/>
  <c r="J401" i="4" s="1"/>
  <c r="F62" i="4" l="1"/>
  <c r="G62" i="4"/>
  <c r="I401" i="4"/>
  <c r="K401" i="4" s="1"/>
  <c r="O401" i="4"/>
  <c r="O741" i="4"/>
  <c r="L741" i="4"/>
  <c r="I741" i="4"/>
  <c r="K741" i="4" s="1"/>
  <c r="J741" i="4"/>
  <c r="L401" i="4"/>
  <c r="G1099" i="4"/>
  <c r="M1099" i="4" s="1"/>
  <c r="O1099" i="4" l="1"/>
  <c r="J1099" i="4"/>
  <c r="E742" i="4"/>
  <c r="N741" i="4"/>
  <c r="E402" i="4"/>
  <c r="N401" i="4"/>
  <c r="L62" i="4"/>
  <c r="I62" i="4"/>
  <c r="K62" i="4" s="1"/>
  <c r="O62" i="4"/>
  <c r="J62" i="4"/>
  <c r="F1100" i="4"/>
  <c r="E63" i="4" l="1"/>
  <c r="N62" i="4"/>
  <c r="A402" i="4"/>
  <c r="C402" i="4"/>
  <c r="D402" i="4" s="1"/>
  <c r="H402" i="4" s="1"/>
  <c r="B402" i="4"/>
  <c r="M402" i="4"/>
  <c r="G1100" i="4"/>
  <c r="J1100" i="4" s="1"/>
  <c r="A742" i="4"/>
  <c r="B742" i="4"/>
  <c r="C742" i="4"/>
  <c r="D742" i="4" s="1"/>
  <c r="H742" i="4" s="1"/>
  <c r="M742" i="4"/>
  <c r="L1100" i="4" l="1"/>
  <c r="I1100" i="4" s="1"/>
  <c r="K1100" i="4" s="1"/>
  <c r="F742" i="4"/>
  <c r="F402" i="4"/>
  <c r="E1101" i="4"/>
  <c r="N1100" i="4"/>
  <c r="C63" i="4"/>
  <c r="D63" i="4" s="1"/>
  <c r="H63" i="4" s="1"/>
  <c r="B63" i="4"/>
  <c r="A63" i="4"/>
  <c r="M63" i="4"/>
  <c r="O1100" i="4"/>
  <c r="F63" i="4" l="1"/>
  <c r="N1101" i="4"/>
  <c r="L1101" i="4"/>
  <c r="A1101" i="4"/>
  <c r="K1101" i="4"/>
  <c r="E1102" i="4" s="1"/>
  <c r="I1101" i="4"/>
  <c r="C1101" i="4"/>
  <c r="D1101" i="4" s="1"/>
  <c r="H1101" i="4" s="1"/>
  <c r="B1101" i="4"/>
  <c r="G402" i="4"/>
  <c r="J402" i="4" s="1"/>
  <c r="G742" i="4"/>
  <c r="L742" i="4" s="1"/>
  <c r="F1101" i="4" l="1"/>
  <c r="O742" i="4"/>
  <c r="J742" i="4"/>
  <c r="I742" i="4"/>
  <c r="K742" i="4" s="1"/>
  <c r="I402" i="4"/>
  <c r="K402" i="4" s="1"/>
  <c r="M1102" i="4"/>
  <c r="C1102" i="4"/>
  <c r="D1102" i="4" s="1"/>
  <c r="H1102" i="4" s="1"/>
  <c r="B1102" i="4"/>
  <c r="A1102" i="4"/>
  <c r="O402" i="4"/>
  <c r="L402" i="4"/>
  <c r="G63" i="4"/>
  <c r="L63" i="4" s="1"/>
  <c r="I63" i="4" l="1"/>
  <c r="K63" i="4" s="1"/>
  <c r="J63" i="4"/>
  <c r="O63" i="4"/>
  <c r="E743" i="4"/>
  <c r="N742" i="4"/>
  <c r="E403" i="4"/>
  <c r="N402" i="4"/>
  <c r="G1101" i="4"/>
  <c r="O1101" i="4" s="1"/>
  <c r="J1101" i="4" l="1"/>
  <c r="M1101" i="4"/>
  <c r="C403" i="4"/>
  <c r="D403" i="4" s="1"/>
  <c r="H403" i="4" s="1"/>
  <c r="B403" i="4"/>
  <c r="M403" i="4"/>
  <c r="A403" i="4"/>
  <c r="C743" i="4"/>
  <c r="D743" i="4" s="1"/>
  <c r="H743" i="4" s="1"/>
  <c r="A743" i="4"/>
  <c r="M743" i="4"/>
  <c r="B743" i="4"/>
  <c r="E64" i="4"/>
  <c r="N63" i="4"/>
  <c r="F743" i="4" l="1"/>
  <c r="F403" i="4"/>
  <c r="B64" i="4"/>
  <c r="C64" i="4"/>
  <c r="D64" i="4" s="1"/>
  <c r="H64" i="4" s="1"/>
  <c r="A64" i="4"/>
  <c r="M64" i="4"/>
  <c r="F1102" i="4"/>
  <c r="F64" i="4" l="1"/>
  <c r="G64" i="4" s="1"/>
  <c r="G1102" i="4"/>
  <c r="J1102" i="4" s="1"/>
  <c r="G403" i="4"/>
  <c r="I403" i="4" s="1"/>
  <c r="K403" i="4" s="1"/>
  <c r="G743" i="4"/>
  <c r="J743" i="4" s="1"/>
  <c r="O743" i="4" l="1"/>
  <c r="I743" i="4"/>
  <c r="K743" i="4" s="1"/>
  <c r="E744" i="4" s="1"/>
  <c r="L743" i="4"/>
  <c r="E404" i="4"/>
  <c r="N403" i="4"/>
  <c r="J403" i="4"/>
  <c r="O403" i="4"/>
  <c r="L403" i="4"/>
  <c r="L1102" i="4"/>
  <c r="I1102" i="4" s="1"/>
  <c r="K1102" i="4" s="1"/>
  <c r="O1102" i="4"/>
  <c r="I64" i="4"/>
  <c r="K64" i="4" s="1"/>
  <c r="L64" i="4"/>
  <c r="O64" i="4"/>
  <c r="J64" i="4"/>
  <c r="N743" i="4" l="1"/>
  <c r="E65" i="4"/>
  <c r="N64" i="4"/>
  <c r="E1103" i="4"/>
  <c r="N1102" i="4"/>
  <c r="B744" i="4"/>
  <c r="C744" i="4"/>
  <c r="D744" i="4" s="1"/>
  <c r="H744" i="4" s="1"/>
  <c r="A744" i="4"/>
  <c r="M744" i="4"/>
  <c r="B404" i="4"/>
  <c r="M404" i="4"/>
  <c r="C404" i="4"/>
  <c r="D404" i="4" s="1"/>
  <c r="H404" i="4" s="1"/>
  <c r="A404" i="4"/>
  <c r="F404" i="4" l="1"/>
  <c r="G404" i="4" s="1"/>
  <c r="F744" i="4"/>
  <c r="N1103" i="4"/>
  <c r="L1103" i="4"/>
  <c r="K1103" i="4"/>
  <c r="E1104" i="4" s="1"/>
  <c r="C1103" i="4"/>
  <c r="D1103" i="4" s="1"/>
  <c r="H1103" i="4" s="1"/>
  <c r="B1103" i="4"/>
  <c r="A1103" i="4"/>
  <c r="I1103" i="4"/>
  <c r="A65" i="4"/>
  <c r="C65" i="4"/>
  <c r="D65" i="4" s="1"/>
  <c r="H65" i="4" s="1"/>
  <c r="B65" i="4"/>
  <c r="M65" i="4"/>
  <c r="F65" i="4" l="1"/>
  <c r="F1103" i="4"/>
  <c r="M1104" i="4"/>
  <c r="C1104" i="4"/>
  <c r="D1104" i="4" s="1"/>
  <c r="H1104" i="4" s="1"/>
  <c r="B1104" i="4"/>
  <c r="A1104" i="4"/>
  <c r="G744" i="4"/>
  <c r="O744" i="4" s="1"/>
  <c r="J404" i="4"/>
  <c r="I404" i="4"/>
  <c r="K404" i="4" s="1"/>
  <c r="L404" i="4"/>
  <c r="O404" i="4"/>
  <c r="E405" i="4" l="1"/>
  <c r="N404" i="4"/>
  <c r="L744" i="4"/>
  <c r="J744" i="4"/>
  <c r="I744" i="4"/>
  <c r="K744" i="4" s="1"/>
  <c r="G1103" i="4"/>
  <c r="J1103" i="4" s="1"/>
  <c r="G65" i="4"/>
  <c r="J65" i="4" s="1"/>
  <c r="L65" i="4" l="1"/>
  <c r="O65" i="4"/>
  <c r="I65" i="4"/>
  <c r="K65" i="4" s="1"/>
  <c r="E745" i="4"/>
  <c r="N744" i="4"/>
  <c r="C405" i="4"/>
  <c r="D405" i="4" s="1"/>
  <c r="H405" i="4" s="1"/>
  <c r="B405" i="4"/>
  <c r="A405" i="4"/>
  <c r="M405" i="4"/>
  <c r="O1103" i="4"/>
  <c r="E66" i="4"/>
  <c r="N65" i="4"/>
  <c r="M1103" i="4"/>
  <c r="F405" i="4" l="1"/>
  <c r="G405" i="4" s="1"/>
  <c r="F1104" i="4"/>
  <c r="C66" i="4"/>
  <c r="D66" i="4" s="1"/>
  <c r="H66" i="4" s="1"/>
  <c r="B66" i="4"/>
  <c r="A66" i="4"/>
  <c r="M66" i="4"/>
  <c r="A745" i="4"/>
  <c r="C745" i="4"/>
  <c r="D745" i="4" s="1"/>
  <c r="H745" i="4" s="1"/>
  <c r="M745" i="4"/>
  <c r="B745" i="4"/>
  <c r="F745" i="4" l="1"/>
  <c r="G745" i="4" s="1"/>
  <c r="F66" i="4"/>
  <c r="G1104" i="4"/>
  <c r="J1104" i="4" s="1"/>
  <c r="L405" i="4"/>
  <c r="I405" i="4"/>
  <c r="K405" i="4" s="1"/>
  <c r="J405" i="4"/>
  <c r="O405" i="4"/>
  <c r="O1104" i="4" l="1"/>
  <c r="E406" i="4"/>
  <c r="N405" i="4"/>
  <c r="L1104" i="4"/>
  <c r="I1104" i="4" s="1"/>
  <c r="K1104" i="4" s="1"/>
  <c r="G66" i="4"/>
  <c r="J66" i="4" s="1"/>
  <c r="O745" i="4"/>
  <c r="L745" i="4"/>
  <c r="I745" i="4"/>
  <c r="K745" i="4" s="1"/>
  <c r="J745" i="4"/>
  <c r="E746" i="4" l="1"/>
  <c r="N745" i="4"/>
  <c r="L66" i="4"/>
  <c r="I66" i="4"/>
  <c r="K66" i="4" s="1"/>
  <c r="O66" i="4"/>
  <c r="M406" i="4"/>
  <c r="C406" i="4"/>
  <c r="D406" i="4" s="1"/>
  <c r="H406" i="4" s="1"/>
  <c r="B406" i="4"/>
  <c r="A406" i="4"/>
  <c r="E1105" i="4"/>
  <c r="N1104" i="4"/>
  <c r="F406" i="4" l="1"/>
  <c r="L1105" i="4"/>
  <c r="K1105" i="4"/>
  <c r="E1106" i="4" s="1"/>
  <c r="N1105" i="4"/>
  <c r="I1105" i="4"/>
  <c r="B1105" i="4"/>
  <c r="A1105" i="4"/>
  <c r="C1105" i="4"/>
  <c r="D1105" i="4" s="1"/>
  <c r="H1105" i="4" s="1"/>
  <c r="E67" i="4"/>
  <c r="N66" i="4"/>
  <c r="D746" i="4"/>
  <c r="H746" i="4" s="1"/>
  <c r="B746" i="4"/>
  <c r="A746" i="4"/>
  <c r="M746" i="4"/>
  <c r="C746" i="4"/>
  <c r="F746" i="4" l="1"/>
  <c r="G746" i="4" s="1"/>
  <c r="F1105" i="4"/>
  <c r="M1106" i="4"/>
  <c r="C1106" i="4"/>
  <c r="D1106" i="4" s="1"/>
  <c r="H1106" i="4" s="1"/>
  <c r="B1106" i="4"/>
  <c r="A1106" i="4"/>
  <c r="M67" i="4"/>
  <c r="C67" i="4"/>
  <c r="D67" i="4" s="1"/>
  <c r="H67" i="4" s="1"/>
  <c r="B67" i="4"/>
  <c r="A67" i="4"/>
  <c r="G406" i="4"/>
  <c r="I406" i="4" s="1"/>
  <c r="K406" i="4" s="1"/>
  <c r="E407" i="4" l="1"/>
  <c r="N406" i="4"/>
  <c r="F67" i="4"/>
  <c r="G1105" i="4"/>
  <c r="J1105" i="4" s="1"/>
  <c r="L406" i="4"/>
  <c r="O406" i="4"/>
  <c r="J406" i="4"/>
  <c r="I746" i="4"/>
  <c r="K746" i="4" s="1"/>
  <c r="J746" i="4"/>
  <c r="L746" i="4"/>
  <c r="O746" i="4"/>
  <c r="E747" i="4" l="1"/>
  <c r="N746" i="4"/>
  <c r="O1105" i="4"/>
  <c r="M1105" i="4"/>
  <c r="G67" i="4"/>
  <c r="J67" i="4" s="1"/>
  <c r="M407" i="4"/>
  <c r="C407" i="4"/>
  <c r="D407" i="4" s="1"/>
  <c r="H407" i="4" s="1"/>
  <c r="B407" i="4"/>
  <c r="A407" i="4"/>
  <c r="F407" i="4" l="1"/>
  <c r="L67" i="4"/>
  <c r="O67" i="4"/>
  <c r="I67" i="4"/>
  <c r="K67" i="4" s="1"/>
  <c r="F1106" i="4"/>
  <c r="C747" i="4"/>
  <c r="D747" i="4" s="1"/>
  <c r="H747" i="4" s="1"/>
  <c r="M747" i="4"/>
  <c r="B747" i="4"/>
  <c r="A747" i="4"/>
  <c r="F747" i="4" l="1"/>
  <c r="G747" i="4" s="1"/>
  <c r="E68" i="4"/>
  <c r="N67" i="4"/>
  <c r="G1106" i="4"/>
  <c r="O1106" i="4" s="1"/>
  <c r="G407" i="4"/>
  <c r="I407" i="4" s="1"/>
  <c r="K407" i="4" s="1"/>
  <c r="E408" i="4" l="1"/>
  <c r="N407" i="4"/>
  <c r="L407" i="4"/>
  <c r="J407" i="4"/>
  <c r="O407" i="4"/>
  <c r="J1106" i="4"/>
  <c r="L1106" i="4"/>
  <c r="I1106" i="4" s="1"/>
  <c r="K1106" i="4" s="1"/>
  <c r="C68" i="4"/>
  <c r="D68" i="4" s="1"/>
  <c r="H68" i="4" s="1"/>
  <c r="B68" i="4"/>
  <c r="A68" i="4"/>
  <c r="M68" i="4"/>
  <c r="J747" i="4"/>
  <c r="I747" i="4"/>
  <c r="K747" i="4" s="1"/>
  <c r="O747" i="4"/>
  <c r="L747" i="4"/>
  <c r="F68" i="4" l="1"/>
  <c r="G68" i="4" s="1"/>
  <c r="E748" i="4"/>
  <c r="N747" i="4"/>
  <c r="E1107" i="4"/>
  <c r="N1106" i="4"/>
  <c r="C408" i="4"/>
  <c r="D408" i="4" s="1"/>
  <c r="H408" i="4" s="1"/>
  <c r="M408" i="4"/>
  <c r="B408" i="4"/>
  <c r="A408" i="4"/>
  <c r="O68" i="4" l="1"/>
  <c r="J68" i="4"/>
  <c r="I68" i="4"/>
  <c r="K68" i="4" s="1"/>
  <c r="L68" i="4"/>
  <c r="F408" i="4"/>
  <c r="L1107" i="4"/>
  <c r="K1107" i="4"/>
  <c r="E1108" i="4" s="1"/>
  <c r="C1107" i="4"/>
  <c r="B1107" i="4"/>
  <c r="A1107" i="4"/>
  <c r="N1107" i="4"/>
  <c r="D1107" i="4"/>
  <c r="H1107" i="4" s="1"/>
  <c r="I1107" i="4"/>
  <c r="B748" i="4"/>
  <c r="M748" i="4"/>
  <c r="C748" i="4"/>
  <c r="D748" i="4" s="1"/>
  <c r="H748" i="4" s="1"/>
  <c r="A748" i="4"/>
  <c r="E69" i="4" l="1"/>
  <c r="N68" i="4"/>
  <c r="F748" i="4"/>
  <c r="G748" i="4" s="1"/>
  <c r="F1107" i="4"/>
  <c r="M1108" i="4"/>
  <c r="C1108" i="4"/>
  <c r="D1108" i="4" s="1"/>
  <c r="H1108" i="4" s="1"/>
  <c r="B1108" i="4"/>
  <c r="A1108" i="4"/>
  <c r="G408" i="4"/>
  <c r="L408" i="4" s="1"/>
  <c r="M69" i="4" l="1"/>
  <c r="C69" i="4"/>
  <c r="D69" i="4" s="1"/>
  <c r="H69" i="4" s="1"/>
  <c r="B69" i="4"/>
  <c r="A69" i="4"/>
  <c r="I408" i="4"/>
  <c r="K408" i="4" s="1"/>
  <c r="O408" i="4"/>
  <c r="J408" i="4"/>
  <c r="G1107" i="4"/>
  <c r="M1107" i="4" s="1"/>
  <c r="O748" i="4"/>
  <c r="L748" i="4"/>
  <c r="J748" i="4"/>
  <c r="I748" i="4"/>
  <c r="K748" i="4" s="1"/>
  <c r="F69" i="4" l="1"/>
  <c r="G69" i="4" s="1"/>
  <c r="F1108" i="4"/>
  <c r="O1107" i="4"/>
  <c r="E749" i="4"/>
  <c r="N748" i="4"/>
  <c r="J1107" i="4"/>
  <c r="E409" i="4"/>
  <c r="N408" i="4"/>
  <c r="L69" i="4" l="1"/>
  <c r="I69" i="4"/>
  <c r="K69" i="4" s="1"/>
  <c r="J69" i="4"/>
  <c r="O69" i="4"/>
  <c r="C409" i="4"/>
  <c r="D409" i="4" s="1"/>
  <c r="H409" i="4" s="1"/>
  <c r="B409" i="4"/>
  <c r="A409" i="4"/>
  <c r="M409" i="4"/>
  <c r="A749" i="4"/>
  <c r="B749" i="4"/>
  <c r="M749" i="4"/>
  <c r="C749" i="4"/>
  <c r="D749" i="4" s="1"/>
  <c r="H749" i="4" s="1"/>
  <c r="G1108" i="4"/>
  <c r="J1108" i="4" s="1"/>
  <c r="L1108" i="4" l="1"/>
  <c r="I1108" i="4" s="1"/>
  <c r="K1108" i="4" s="1"/>
  <c r="E70" i="4"/>
  <c r="N69" i="4"/>
  <c r="F749" i="4"/>
  <c r="F409" i="4"/>
  <c r="E1109" i="4"/>
  <c r="N1108" i="4"/>
  <c r="O1108" i="4"/>
  <c r="M70" i="4" l="1"/>
  <c r="C70" i="4"/>
  <c r="D70" i="4" s="1"/>
  <c r="H70" i="4" s="1"/>
  <c r="B70" i="4"/>
  <c r="A70" i="4"/>
  <c r="L1109" i="4"/>
  <c r="K1109" i="4"/>
  <c r="E1110" i="4" s="1"/>
  <c r="I1109" i="4"/>
  <c r="C1109" i="4"/>
  <c r="D1109" i="4" s="1"/>
  <c r="H1109" i="4" s="1"/>
  <c r="B1109" i="4"/>
  <c r="N1109" i="4"/>
  <c r="A1109" i="4"/>
  <c r="G409" i="4"/>
  <c r="O409" i="4" s="1"/>
  <c r="G749" i="4"/>
  <c r="O749" i="4" s="1"/>
  <c r="F70" i="4" l="1"/>
  <c r="G70" i="4"/>
  <c r="F1109" i="4"/>
  <c r="G1109" i="4"/>
  <c r="J749" i="4"/>
  <c r="M1110" i="4"/>
  <c r="C1110" i="4"/>
  <c r="D1110" i="4" s="1"/>
  <c r="H1110" i="4" s="1"/>
  <c r="B1110" i="4"/>
  <c r="A1110" i="4"/>
  <c r="L749" i="4"/>
  <c r="I749" i="4"/>
  <c r="K749" i="4" s="1"/>
  <c r="J409" i="4"/>
  <c r="L409" i="4"/>
  <c r="I409" i="4"/>
  <c r="K409" i="4" s="1"/>
  <c r="J70" i="4" l="1"/>
  <c r="O70" i="4"/>
  <c r="L70" i="4"/>
  <c r="I70" i="4"/>
  <c r="K70" i="4" s="1"/>
  <c r="E410" i="4"/>
  <c r="N409" i="4"/>
  <c r="E750" i="4"/>
  <c r="N749" i="4"/>
  <c r="O1109" i="4"/>
  <c r="M1109" i="4"/>
  <c r="J1109" i="4"/>
  <c r="E71" i="4" l="1"/>
  <c r="N70" i="4"/>
  <c r="A750" i="4"/>
  <c r="C750" i="4"/>
  <c r="D750" i="4" s="1"/>
  <c r="H750" i="4" s="1"/>
  <c r="B750" i="4"/>
  <c r="M750" i="4"/>
  <c r="C410" i="4"/>
  <c r="D410" i="4" s="1"/>
  <c r="H410" i="4" s="1"/>
  <c r="B410" i="4"/>
  <c r="A410" i="4"/>
  <c r="M410" i="4"/>
  <c r="F1110" i="4"/>
  <c r="G1110" i="4" s="1"/>
  <c r="C71" i="4" l="1"/>
  <c r="D71" i="4" s="1"/>
  <c r="H71" i="4" s="1"/>
  <c r="B71" i="4"/>
  <c r="M71" i="4"/>
  <c r="A71" i="4"/>
  <c r="F410" i="4"/>
  <c r="G410" i="4" s="1"/>
  <c r="F750" i="4"/>
  <c r="O1110" i="4"/>
  <c r="J1110" i="4"/>
  <c r="L1110" i="4"/>
  <c r="I1110" i="4" s="1"/>
  <c r="K1110" i="4" s="1"/>
  <c r="F71" i="4" l="1"/>
  <c r="G71" i="4"/>
  <c r="E1111" i="4"/>
  <c r="N1110" i="4"/>
  <c r="G750" i="4"/>
  <c r="I750" i="4" s="1"/>
  <c r="K750" i="4" s="1"/>
  <c r="I410" i="4"/>
  <c r="K410" i="4" s="1"/>
  <c r="L410" i="4"/>
  <c r="O410" i="4"/>
  <c r="J410" i="4"/>
  <c r="L71" i="4" l="1"/>
  <c r="J71" i="4"/>
  <c r="I71" i="4"/>
  <c r="K71" i="4" s="1"/>
  <c r="O71" i="4"/>
  <c r="E751" i="4"/>
  <c r="N750" i="4"/>
  <c r="L1111" i="4"/>
  <c r="K1111" i="4"/>
  <c r="E1112" i="4" s="1"/>
  <c r="A1111" i="4"/>
  <c r="N1111" i="4"/>
  <c r="I1111" i="4"/>
  <c r="C1111" i="4"/>
  <c r="D1111" i="4" s="1"/>
  <c r="H1111" i="4" s="1"/>
  <c r="B1111" i="4"/>
  <c r="E411" i="4"/>
  <c r="N410" i="4"/>
  <c r="O750" i="4"/>
  <c r="L750" i="4"/>
  <c r="J750" i="4"/>
  <c r="E72" i="4" l="1"/>
  <c r="N71" i="4"/>
  <c r="F1111" i="4"/>
  <c r="M1112" i="4"/>
  <c r="C1112" i="4"/>
  <c r="D1112" i="4" s="1"/>
  <c r="H1112" i="4" s="1"/>
  <c r="B1112" i="4"/>
  <c r="A1112" i="4"/>
  <c r="B411" i="4"/>
  <c r="A411" i="4"/>
  <c r="C411" i="4"/>
  <c r="D411" i="4" s="1"/>
  <c r="H411" i="4" s="1"/>
  <c r="M411" i="4"/>
  <c r="M751" i="4"/>
  <c r="A751" i="4"/>
  <c r="B751" i="4"/>
  <c r="C751" i="4"/>
  <c r="D751" i="4" s="1"/>
  <c r="H751" i="4" s="1"/>
  <c r="B72" i="4" l="1"/>
  <c r="C72" i="4"/>
  <c r="D72" i="4" s="1"/>
  <c r="H72" i="4" s="1"/>
  <c r="A72" i="4"/>
  <c r="M72" i="4"/>
  <c r="F751" i="4"/>
  <c r="F411" i="4"/>
  <c r="G1111" i="4"/>
  <c r="O1111" i="4" s="1"/>
  <c r="F72" i="4" l="1"/>
  <c r="M1111" i="4"/>
  <c r="J1111" i="4"/>
  <c r="G411" i="4"/>
  <c r="J411" i="4" s="1"/>
  <c r="G751" i="4"/>
  <c r="L751" i="4" s="1"/>
  <c r="G72" i="4" l="1"/>
  <c r="O72" i="4" s="1"/>
  <c r="I751" i="4"/>
  <c r="K751" i="4" s="1"/>
  <c r="J751" i="4"/>
  <c r="O751" i="4"/>
  <c r="I411" i="4"/>
  <c r="K411" i="4" s="1"/>
  <c r="L411" i="4"/>
  <c r="O411" i="4"/>
  <c r="F1112" i="4"/>
  <c r="G1112" i="4" s="1"/>
  <c r="I72" i="4" l="1"/>
  <c r="K72" i="4" s="1"/>
  <c r="J72" i="4"/>
  <c r="L72" i="4"/>
  <c r="E412" i="4"/>
  <c r="N411" i="4"/>
  <c r="J1112" i="4"/>
  <c r="O1112" i="4"/>
  <c r="L1112" i="4"/>
  <c r="I1112" i="4" s="1"/>
  <c r="K1112" i="4" s="1"/>
  <c r="E752" i="4"/>
  <c r="N751" i="4"/>
  <c r="E73" i="4" l="1"/>
  <c r="N72" i="4"/>
  <c r="E1113" i="4"/>
  <c r="N1112" i="4"/>
  <c r="A752" i="4"/>
  <c r="C752" i="4"/>
  <c r="D752" i="4" s="1"/>
  <c r="H752" i="4" s="1"/>
  <c r="M752" i="4"/>
  <c r="B752" i="4"/>
  <c r="A412" i="4"/>
  <c r="M412" i="4"/>
  <c r="C412" i="4"/>
  <c r="D412" i="4" s="1"/>
  <c r="H412" i="4" s="1"/>
  <c r="B412" i="4"/>
  <c r="A73" i="4" l="1"/>
  <c r="C73" i="4"/>
  <c r="D73" i="4" s="1"/>
  <c r="H73" i="4" s="1"/>
  <c r="M73" i="4"/>
  <c r="B73" i="4"/>
  <c r="F412" i="4"/>
  <c r="F752" i="4"/>
  <c r="G752" i="4" s="1"/>
  <c r="L1113" i="4"/>
  <c r="K1113" i="4"/>
  <c r="E1114" i="4" s="1"/>
  <c r="C1113" i="4"/>
  <c r="D1113" i="4" s="1"/>
  <c r="H1113" i="4" s="1"/>
  <c r="B1113" i="4"/>
  <c r="A1113" i="4"/>
  <c r="I1113" i="4"/>
  <c r="N1113" i="4"/>
  <c r="F73" i="4" l="1"/>
  <c r="G73" i="4" s="1"/>
  <c r="F1113" i="4"/>
  <c r="G1113" i="4" s="1"/>
  <c r="C1114" i="4"/>
  <c r="D1114" i="4" s="1"/>
  <c r="H1114" i="4" s="1"/>
  <c r="M1114" i="4"/>
  <c r="A1114" i="4"/>
  <c r="B1114" i="4"/>
  <c r="O752" i="4"/>
  <c r="I752" i="4"/>
  <c r="K752" i="4" s="1"/>
  <c r="L752" i="4"/>
  <c r="J752" i="4"/>
  <c r="G412" i="4"/>
  <c r="I412" i="4" s="1"/>
  <c r="K412" i="4" s="1"/>
  <c r="O73" i="4" l="1"/>
  <c r="J73" i="4"/>
  <c r="I73" i="4"/>
  <c r="K73" i="4" s="1"/>
  <c r="L73" i="4"/>
  <c r="E413" i="4"/>
  <c r="N412" i="4"/>
  <c r="E753" i="4"/>
  <c r="N752" i="4"/>
  <c r="O412" i="4"/>
  <c r="J412" i="4"/>
  <c r="L412" i="4"/>
  <c r="J1113" i="4"/>
  <c r="M1113" i="4"/>
  <c r="F1114" i="4" s="1"/>
  <c r="O1113" i="4"/>
  <c r="E74" i="4" l="1"/>
  <c r="N73" i="4"/>
  <c r="A753" i="4"/>
  <c r="M753" i="4"/>
  <c r="C753" i="4"/>
  <c r="D753" i="4" s="1"/>
  <c r="H753" i="4" s="1"/>
  <c r="B753" i="4"/>
  <c r="G1114" i="4"/>
  <c r="J1114" i="4" s="1"/>
  <c r="M413" i="4"/>
  <c r="B413" i="4"/>
  <c r="A413" i="4"/>
  <c r="C413" i="4"/>
  <c r="D413" i="4" s="1"/>
  <c r="H413" i="4" s="1"/>
  <c r="O1114" i="4" l="1"/>
  <c r="A74" i="4"/>
  <c r="C74" i="4"/>
  <c r="D74" i="4" s="1"/>
  <c r="H74" i="4" s="1"/>
  <c r="B74" i="4"/>
  <c r="M74" i="4"/>
  <c r="F413" i="4"/>
  <c r="G413" i="4" s="1"/>
  <c r="F753" i="4"/>
  <c r="G753" i="4" s="1"/>
  <c r="L1114" i="4"/>
  <c r="I1114" i="4" s="1"/>
  <c r="K1114" i="4" s="1"/>
  <c r="F74" i="4" l="1"/>
  <c r="G74" i="4" s="1"/>
  <c r="L753" i="4"/>
  <c r="O753" i="4"/>
  <c r="J753" i="4"/>
  <c r="I753" i="4"/>
  <c r="K753" i="4" s="1"/>
  <c r="E1115" i="4"/>
  <c r="N1114" i="4"/>
  <c r="I413" i="4"/>
  <c r="K413" i="4" s="1"/>
  <c r="L413" i="4"/>
  <c r="J413" i="4"/>
  <c r="O413" i="4"/>
  <c r="I74" i="4" l="1"/>
  <c r="K74" i="4" s="1"/>
  <c r="L74" i="4"/>
  <c r="J74" i="4"/>
  <c r="O74" i="4"/>
  <c r="E414" i="4"/>
  <c r="N413" i="4"/>
  <c r="E754" i="4"/>
  <c r="N753" i="4"/>
  <c r="B1115" i="4"/>
  <c r="L1115" i="4"/>
  <c r="K1115" i="4"/>
  <c r="E1116" i="4" s="1"/>
  <c r="N1115" i="4"/>
  <c r="I1115" i="4"/>
  <c r="C1115" i="4"/>
  <c r="D1115" i="4" s="1"/>
  <c r="H1115" i="4" s="1"/>
  <c r="A1115" i="4"/>
  <c r="E75" i="4" l="1"/>
  <c r="N74" i="4"/>
  <c r="F1115" i="4"/>
  <c r="G1115" i="4" s="1"/>
  <c r="A1116" i="4"/>
  <c r="M1116" i="4"/>
  <c r="C1116" i="4"/>
  <c r="D1116" i="4" s="1"/>
  <c r="H1116" i="4" s="1"/>
  <c r="B1116" i="4"/>
  <c r="A754" i="4"/>
  <c r="M754" i="4"/>
  <c r="C754" i="4"/>
  <c r="D754" i="4" s="1"/>
  <c r="H754" i="4" s="1"/>
  <c r="B754" i="4"/>
  <c r="M414" i="4"/>
  <c r="C414" i="4"/>
  <c r="D414" i="4" s="1"/>
  <c r="H414" i="4" s="1"/>
  <c r="B414" i="4"/>
  <c r="A414" i="4"/>
  <c r="A75" i="4" l="1"/>
  <c r="C75" i="4"/>
  <c r="D75" i="4" s="1"/>
  <c r="H75" i="4" s="1"/>
  <c r="B75" i="4"/>
  <c r="M75" i="4"/>
  <c r="F754" i="4"/>
  <c r="F414" i="4"/>
  <c r="M1115" i="4"/>
  <c r="F1116" i="4" s="1"/>
  <c r="O1115" i="4"/>
  <c r="J1115" i="4"/>
  <c r="F75" i="4" l="1"/>
  <c r="G75" i="4" s="1"/>
  <c r="G414" i="4"/>
  <c r="L414" i="4" s="1"/>
  <c r="G1116" i="4"/>
  <c r="O1116" i="4" s="1"/>
  <c r="G754" i="4"/>
  <c r="I754" i="4" s="1"/>
  <c r="K754" i="4" s="1"/>
  <c r="L75" i="4" l="1"/>
  <c r="I75" i="4"/>
  <c r="K75" i="4" s="1"/>
  <c r="J75" i="4"/>
  <c r="O75" i="4"/>
  <c r="E755" i="4"/>
  <c r="N754" i="4"/>
  <c r="J754" i="4"/>
  <c r="J414" i="4"/>
  <c r="O414" i="4"/>
  <c r="L1116" i="4"/>
  <c r="I1116" i="4" s="1"/>
  <c r="K1116" i="4" s="1"/>
  <c r="L754" i="4"/>
  <c r="I414" i="4"/>
  <c r="K414" i="4" s="1"/>
  <c r="J1116" i="4"/>
  <c r="O754" i="4"/>
  <c r="E76" i="4" l="1"/>
  <c r="N75" i="4"/>
  <c r="E1117" i="4"/>
  <c r="N1116" i="4"/>
  <c r="E415" i="4"/>
  <c r="N414" i="4"/>
  <c r="A755" i="4"/>
  <c r="M755" i="4"/>
  <c r="C755" i="4"/>
  <c r="D755" i="4" s="1"/>
  <c r="H755" i="4" s="1"/>
  <c r="B755" i="4"/>
  <c r="M76" i="4" l="1"/>
  <c r="C76" i="4"/>
  <c r="D76" i="4" s="1"/>
  <c r="H76" i="4" s="1"/>
  <c r="B76" i="4"/>
  <c r="A76" i="4"/>
  <c r="F755" i="4"/>
  <c r="G755" i="4" s="1"/>
  <c r="B415" i="4"/>
  <c r="A415" i="4"/>
  <c r="M415" i="4"/>
  <c r="C415" i="4"/>
  <c r="D415" i="4" s="1"/>
  <c r="H415" i="4" s="1"/>
  <c r="N1117" i="4"/>
  <c r="L1117" i="4"/>
  <c r="K1117" i="4"/>
  <c r="E1118" i="4" s="1"/>
  <c r="C1117" i="4"/>
  <c r="D1117" i="4" s="1"/>
  <c r="H1117" i="4" s="1"/>
  <c r="B1117" i="4"/>
  <c r="A1117" i="4"/>
  <c r="I1117" i="4"/>
  <c r="F76" i="4" l="1"/>
  <c r="F415" i="4"/>
  <c r="G415" i="4" s="1"/>
  <c r="F1117" i="4"/>
  <c r="M1118" i="4"/>
  <c r="C1118" i="4"/>
  <c r="D1118" i="4" s="1"/>
  <c r="H1118" i="4" s="1"/>
  <c r="B1118" i="4"/>
  <c r="A1118" i="4"/>
  <c r="J755" i="4"/>
  <c r="O755" i="4"/>
  <c r="I755" i="4"/>
  <c r="K755" i="4" s="1"/>
  <c r="L755" i="4"/>
  <c r="G76" i="4" l="1"/>
  <c r="O76" i="4" s="1"/>
  <c r="E756" i="4"/>
  <c r="N755" i="4"/>
  <c r="G1117" i="4"/>
  <c r="M1117" i="4" s="1"/>
  <c r="O415" i="4"/>
  <c r="L415" i="4"/>
  <c r="J415" i="4"/>
  <c r="I415" i="4"/>
  <c r="K415" i="4" s="1"/>
  <c r="L76" i="4" l="1"/>
  <c r="J76" i="4"/>
  <c r="I76" i="4"/>
  <c r="K76" i="4" s="1"/>
  <c r="F1118" i="4"/>
  <c r="O1117" i="4"/>
  <c r="A756" i="4"/>
  <c r="C756" i="4"/>
  <c r="D756" i="4" s="1"/>
  <c r="H756" i="4" s="1"/>
  <c r="M756" i="4"/>
  <c r="B756" i="4"/>
  <c r="J1117" i="4"/>
  <c r="E416" i="4"/>
  <c r="N415" i="4"/>
  <c r="E77" i="4" l="1"/>
  <c r="N76" i="4"/>
  <c r="F756" i="4"/>
  <c r="G756" i="4" s="1"/>
  <c r="G1118" i="4"/>
  <c r="J1118" i="4" s="1"/>
  <c r="C416" i="4"/>
  <c r="D416" i="4" s="1"/>
  <c r="H416" i="4" s="1"/>
  <c r="A416" i="4"/>
  <c r="M416" i="4"/>
  <c r="B416" i="4"/>
  <c r="A77" i="4" l="1"/>
  <c r="M77" i="4"/>
  <c r="C77" i="4"/>
  <c r="D77" i="4" s="1"/>
  <c r="H77" i="4" s="1"/>
  <c r="B77" i="4"/>
  <c r="F416" i="4"/>
  <c r="G416" i="4" s="1"/>
  <c r="L1118" i="4"/>
  <c r="I1118" i="4" s="1"/>
  <c r="K1118" i="4" s="1"/>
  <c r="O1118" i="4"/>
  <c r="L756" i="4"/>
  <c r="O756" i="4"/>
  <c r="J756" i="4"/>
  <c r="I756" i="4"/>
  <c r="K756" i="4" s="1"/>
  <c r="F77" i="4" l="1"/>
  <c r="G77" i="4" s="1"/>
  <c r="E757" i="4"/>
  <c r="N756" i="4"/>
  <c r="E1119" i="4"/>
  <c r="N1118" i="4"/>
  <c r="L416" i="4"/>
  <c r="I416" i="4"/>
  <c r="K416" i="4" s="1"/>
  <c r="J416" i="4"/>
  <c r="O416" i="4"/>
  <c r="L77" i="4" l="1"/>
  <c r="I77" i="4"/>
  <c r="K77" i="4" s="1"/>
  <c r="J77" i="4"/>
  <c r="O77" i="4"/>
  <c r="L1119" i="4"/>
  <c r="N1119" i="4"/>
  <c r="K1119" i="4"/>
  <c r="E1120" i="4" s="1"/>
  <c r="I1119" i="4"/>
  <c r="C1119" i="4"/>
  <c r="D1119" i="4" s="1"/>
  <c r="H1119" i="4" s="1"/>
  <c r="B1119" i="4"/>
  <c r="A1119" i="4"/>
  <c r="E417" i="4"/>
  <c r="N416" i="4"/>
  <c r="A757" i="4"/>
  <c r="C757" i="4"/>
  <c r="B757" i="4"/>
  <c r="M757" i="4"/>
  <c r="D757" i="4"/>
  <c r="H757" i="4" s="1"/>
  <c r="E78" i="4" l="1"/>
  <c r="N77" i="4"/>
  <c r="F757" i="4"/>
  <c r="G757" i="4" s="1"/>
  <c r="F1119" i="4"/>
  <c r="M1120" i="4"/>
  <c r="A1120" i="4"/>
  <c r="C1120" i="4"/>
  <c r="D1120" i="4" s="1"/>
  <c r="H1120" i="4" s="1"/>
  <c r="B1120" i="4"/>
  <c r="C417" i="4"/>
  <c r="D417" i="4" s="1"/>
  <c r="H417" i="4" s="1"/>
  <c r="B417" i="4"/>
  <c r="A417" i="4"/>
  <c r="M417" i="4"/>
  <c r="C78" i="4" l="1"/>
  <c r="A78" i="4"/>
  <c r="B78" i="4"/>
  <c r="D78" i="4"/>
  <c r="H78" i="4" s="1"/>
  <c r="M78" i="4"/>
  <c r="F417" i="4"/>
  <c r="G417" i="4" s="1"/>
  <c r="G1119" i="4"/>
  <c r="O1119" i="4" s="1"/>
  <c r="J757" i="4"/>
  <c r="I757" i="4"/>
  <c r="K757" i="4" s="1"/>
  <c r="O757" i="4"/>
  <c r="L757" i="4"/>
  <c r="F78" i="4" l="1"/>
  <c r="E758" i="4"/>
  <c r="N757" i="4"/>
  <c r="M1119" i="4"/>
  <c r="J1119" i="4"/>
  <c r="O417" i="4"/>
  <c r="L417" i="4"/>
  <c r="J417" i="4"/>
  <c r="I417" i="4"/>
  <c r="K417" i="4" s="1"/>
  <c r="G78" i="4" l="1"/>
  <c r="I78" i="4" s="1"/>
  <c r="K78" i="4" s="1"/>
  <c r="F1120" i="4"/>
  <c r="E418" i="4"/>
  <c r="N417" i="4"/>
  <c r="A758" i="4"/>
  <c r="C758" i="4"/>
  <c r="D758" i="4" s="1"/>
  <c r="H758" i="4" s="1"/>
  <c r="B758" i="4"/>
  <c r="M758" i="4"/>
  <c r="E79" i="4" l="1"/>
  <c r="N78" i="4"/>
  <c r="L78" i="4"/>
  <c r="J78" i="4"/>
  <c r="O78" i="4"/>
  <c r="F758" i="4"/>
  <c r="G758" i="4" s="1"/>
  <c r="M418" i="4"/>
  <c r="C418" i="4"/>
  <c r="D418" i="4" s="1"/>
  <c r="H418" i="4" s="1"/>
  <c r="B418" i="4"/>
  <c r="A418" i="4"/>
  <c r="G1120" i="4"/>
  <c r="J1120" i="4" s="1"/>
  <c r="A79" i="4" l="1"/>
  <c r="C79" i="4"/>
  <c r="D79" i="4" s="1"/>
  <c r="H79" i="4" s="1"/>
  <c r="M79" i="4"/>
  <c r="B79" i="4"/>
  <c r="F418" i="4"/>
  <c r="O1120" i="4"/>
  <c r="L1120" i="4"/>
  <c r="I1120" i="4" s="1"/>
  <c r="K1120" i="4" s="1"/>
  <c r="I758" i="4"/>
  <c r="K758" i="4" s="1"/>
  <c r="J758" i="4"/>
  <c r="L758" i="4"/>
  <c r="O758" i="4"/>
  <c r="F79" i="4" l="1"/>
  <c r="E759" i="4"/>
  <c r="N758" i="4"/>
  <c r="E1121" i="4"/>
  <c r="N1120" i="4"/>
  <c r="G418" i="4"/>
  <c r="I418" i="4" s="1"/>
  <c r="K418" i="4" s="1"/>
  <c r="G79" i="4" l="1"/>
  <c r="O79" i="4" s="1"/>
  <c r="E419" i="4"/>
  <c r="N418" i="4"/>
  <c r="N1121" i="4"/>
  <c r="L1121" i="4"/>
  <c r="C1121" i="4"/>
  <c r="D1121" i="4" s="1"/>
  <c r="H1121" i="4" s="1"/>
  <c r="B1121" i="4"/>
  <c r="A1121" i="4"/>
  <c r="K1121" i="4"/>
  <c r="E1122" i="4" s="1"/>
  <c r="I1121" i="4"/>
  <c r="O418" i="4"/>
  <c r="J418" i="4"/>
  <c r="L418" i="4"/>
  <c r="A759" i="4"/>
  <c r="C759" i="4"/>
  <c r="D759" i="4" s="1"/>
  <c r="H759" i="4" s="1"/>
  <c r="M759" i="4"/>
  <c r="B759" i="4"/>
  <c r="J79" i="4" l="1"/>
  <c r="I79" i="4"/>
  <c r="K79" i="4" s="1"/>
  <c r="L79" i="4"/>
  <c r="F759" i="4"/>
  <c r="F1121" i="4"/>
  <c r="G1121" i="4" s="1"/>
  <c r="M1122" i="4"/>
  <c r="C1122" i="4"/>
  <c r="D1122" i="4" s="1"/>
  <c r="H1122" i="4" s="1"/>
  <c r="B1122" i="4"/>
  <c r="A1122" i="4"/>
  <c r="M419" i="4"/>
  <c r="A419" i="4"/>
  <c r="C419" i="4"/>
  <c r="D419" i="4" s="1"/>
  <c r="H419" i="4" s="1"/>
  <c r="B419" i="4"/>
  <c r="E80" i="4" l="1"/>
  <c r="N79" i="4"/>
  <c r="F419" i="4"/>
  <c r="M1121" i="4"/>
  <c r="F1122" i="4" s="1"/>
  <c r="J1121" i="4"/>
  <c r="O1121" i="4"/>
  <c r="G759" i="4"/>
  <c r="L759" i="4" s="1"/>
  <c r="A80" i="4" l="1"/>
  <c r="M80" i="4"/>
  <c r="C80" i="4"/>
  <c r="D80" i="4" s="1"/>
  <c r="H80" i="4" s="1"/>
  <c r="B80" i="4"/>
  <c r="I759" i="4"/>
  <c r="K759" i="4" s="1"/>
  <c r="O759" i="4"/>
  <c r="J759" i="4"/>
  <c r="G1122" i="4"/>
  <c r="J1122" i="4" s="1"/>
  <c r="G419" i="4"/>
  <c r="J419" i="4" s="1"/>
  <c r="F80" i="4" l="1"/>
  <c r="O1122" i="4"/>
  <c r="L1122" i="4"/>
  <c r="I1122" i="4" s="1"/>
  <c r="K1122" i="4" s="1"/>
  <c r="O419" i="4"/>
  <c r="L419" i="4"/>
  <c r="I419" i="4"/>
  <c r="K419" i="4" s="1"/>
  <c r="E760" i="4"/>
  <c r="N759" i="4"/>
  <c r="G80" i="4" l="1"/>
  <c r="J80" i="4" s="1"/>
  <c r="A760" i="4"/>
  <c r="M760" i="4"/>
  <c r="C760" i="4"/>
  <c r="D760" i="4" s="1"/>
  <c r="H760" i="4" s="1"/>
  <c r="B760" i="4"/>
  <c r="E420" i="4"/>
  <c r="N419" i="4"/>
  <c r="E1123" i="4"/>
  <c r="N1122" i="4"/>
  <c r="O80" i="4" l="1"/>
  <c r="I80" i="4"/>
  <c r="K80" i="4" s="1"/>
  <c r="L80" i="4"/>
  <c r="F760" i="4"/>
  <c r="G760" i="4" s="1"/>
  <c r="N1123" i="4"/>
  <c r="L1123" i="4"/>
  <c r="K1123" i="4"/>
  <c r="E1124" i="4" s="1"/>
  <c r="I1123" i="4"/>
  <c r="C1123" i="4"/>
  <c r="D1123" i="4" s="1"/>
  <c r="H1123" i="4" s="1"/>
  <c r="A1123" i="4"/>
  <c r="B1123" i="4"/>
  <c r="C420" i="4"/>
  <c r="D420" i="4" s="1"/>
  <c r="H420" i="4" s="1"/>
  <c r="B420" i="4"/>
  <c r="A420" i="4"/>
  <c r="M420" i="4"/>
  <c r="E81" i="4" l="1"/>
  <c r="N80" i="4"/>
  <c r="F420" i="4"/>
  <c r="F1123" i="4"/>
  <c r="G1123" i="4" s="1"/>
  <c r="M1124" i="4"/>
  <c r="B1124" i="4"/>
  <c r="A1124" i="4"/>
  <c r="C1124" i="4"/>
  <c r="D1124" i="4" s="1"/>
  <c r="H1124" i="4" s="1"/>
  <c r="L760" i="4"/>
  <c r="J760" i="4"/>
  <c r="I760" i="4"/>
  <c r="K760" i="4" s="1"/>
  <c r="O760" i="4"/>
  <c r="C81" i="4" l="1"/>
  <c r="D81" i="4" s="1"/>
  <c r="H81" i="4" s="1"/>
  <c r="M81" i="4"/>
  <c r="B81" i="4"/>
  <c r="A81" i="4"/>
  <c r="O1123" i="4"/>
  <c r="M1123" i="4"/>
  <c r="J1123" i="4"/>
  <c r="E761" i="4"/>
  <c r="N760" i="4"/>
  <c r="G420" i="4"/>
  <c r="J420" i="4" s="1"/>
  <c r="F81" i="4" l="1"/>
  <c r="I420" i="4"/>
  <c r="K420" i="4" s="1"/>
  <c r="F1124" i="4"/>
  <c r="L420" i="4"/>
  <c r="O420" i="4"/>
  <c r="C761" i="4"/>
  <c r="A761" i="4"/>
  <c r="M761" i="4"/>
  <c r="D761" i="4"/>
  <c r="H761" i="4" s="1"/>
  <c r="B761" i="4"/>
  <c r="G1124" i="4"/>
  <c r="G81" i="4" l="1"/>
  <c r="J81" i="4" s="1"/>
  <c r="F761" i="4"/>
  <c r="O1124" i="4"/>
  <c r="J1124" i="4"/>
  <c r="L1124" i="4"/>
  <c r="I1124" i="4" s="1"/>
  <c r="K1124" i="4" s="1"/>
  <c r="E421" i="4"/>
  <c r="N420" i="4"/>
  <c r="L81" i="4" l="1"/>
  <c r="O81" i="4"/>
  <c r="I81" i="4"/>
  <c r="K81" i="4" s="1"/>
  <c r="M421" i="4"/>
  <c r="C421" i="4"/>
  <c r="D421" i="4" s="1"/>
  <c r="H421" i="4" s="1"/>
  <c r="A421" i="4"/>
  <c r="B421" i="4"/>
  <c r="E1125" i="4"/>
  <c r="N1124" i="4"/>
  <c r="G761" i="4"/>
  <c r="O761" i="4" s="1"/>
  <c r="E82" i="4" l="1"/>
  <c r="N81" i="4"/>
  <c r="F421" i="4"/>
  <c r="G421" i="4" s="1"/>
  <c r="N1125" i="4"/>
  <c r="L1125" i="4"/>
  <c r="B1125" i="4"/>
  <c r="A1125" i="4"/>
  <c r="K1125" i="4"/>
  <c r="E1126" i="4" s="1"/>
  <c r="I1125" i="4"/>
  <c r="C1125" i="4"/>
  <c r="D1125" i="4" s="1"/>
  <c r="H1125" i="4" s="1"/>
  <c r="J761" i="4"/>
  <c r="L761" i="4"/>
  <c r="I761" i="4"/>
  <c r="K761" i="4" s="1"/>
  <c r="C82" i="4" l="1"/>
  <c r="D82" i="4" s="1"/>
  <c r="H82" i="4" s="1"/>
  <c r="B82" i="4"/>
  <c r="A82" i="4"/>
  <c r="M82" i="4"/>
  <c r="F1125" i="4"/>
  <c r="M1126" i="4"/>
  <c r="C1126" i="4"/>
  <c r="D1126" i="4" s="1"/>
  <c r="H1126" i="4" s="1"/>
  <c r="B1126" i="4"/>
  <c r="A1126" i="4"/>
  <c r="E762" i="4"/>
  <c r="N761" i="4"/>
  <c r="O421" i="4"/>
  <c r="J421" i="4"/>
  <c r="I421" i="4"/>
  <c r="K421" i="4" s="1"/>
  <c r="L421" i="4"/>
  <c r="F82" i="4" l="1"/>
  <c r="E422" i="4"/>
  <c r="N421" i="4"/>
  <c r="B762" i="4"/>
  <c r="A762" i="4"/>
  <c r="M762" i="4"/>
  <c r="C762" i="4"/>
  <c r="D762" i="4" s="1"/>
  <c r="H762" i="4" s="1"/>
  <c r="G1125" i="4"/>
  <c r="M1125" i="4" s="1"/>
  <c r="G82" i="4" l="1"/>
  <c r="J82" i="4" s="1"/>
  <c r="F1126" i="4"/>
  <c r="G1126" i="4" s="1"/>
  <c r="F762" i="4"/>
  <c r="O1125" i="4"/>
  <c r="C422" i="4"/>
  <c r="D422" i="4" s="1"/>
  <c r="H422" i="4" s="1"/>
  <c r="B422" i="4"/>
  <c r="A422" i="4"/>
  <c r="M422" i="4"/>
  <c r="J1125" i="4"/>
  <c r="I82" i="4" l="1"/>
  <c r="K82" i="4" s="1"/>
  <c r="O82" i="4"/>
  <c r="L82" i="4"/>
  <c r="F422" i="4"/>
  <c r="G762" i="4"/>
  <c r="O762" i="4" s="1"/>
  <c r="O1126" i="4"/>
  <c r="J1126" i="4"/>
  <c r="L1126" i="4"/>
  <c r="I1126" i="4" s="1"/>
  <c r="K1126" i="4" s="1"/>
  <c r="E83" i="4" l="1"/>
  <c r="N82" i="4"/>
  <c r="E1127" i="4"/>
  <c r="N1126" i="4"/>
  <c r="I762" i="4"/>
  <c r="K762" i="4" s="1"/>
  <c r="L762" i="4"/>
  <c r="J762" i="4"/>
  <c r="G422" i="4"/>
  <c r="I422" i="4" s="1"/>
  <c r="K422" i="4" s="1"/>
  <c r="M83" i="4" l="1"/>
  <c r="C83" i="4"/>
  <c r="D83" i="4" s="1"/>
  <c r="H83" i="4" s="1"/>
  <c r="A83" i="4"/>
  <c r="B83" i="4"/>
  <c r="E423" i="4"/>
  <c r="N422" i="4"/>
  <c r="O422" i="4"/>
  <c r="L422" i="4"/>
  <c r="J422" i="4"/>
  <c r="E763" i="4"/>
  <c r="N762" i="4"/>
  <c r="N1127" i="4"/>
  <c r="L1127" i="4"/>
  <c r="I1127" i="4"/>
  <c r="C1127" i="4"/>
  <c r="D1127" i="4" s="1"/>
  <c r="H1127" i="4" s="1"/>
  <c r="F1127" i="4" s="1"/>
  <c r="B1127" i="4"/>
  <c r="A1127" i="4"/>
  <c r="K1127" i="4"/>
  <c r="E1128" i="4" s="1"/>
  <c r="F83" i="4" l="1"/>
  <c r="G1127" i="4"/>
  <c r="J1127" i="4" s="1"/>
  <c r="C1128" i="4"/>
  <c r="D1128" i="4" s="1"/>
  <c r="H1128" i="4" s="1"/>
  <c r="M1128" i="4"/>
  <c r="B1128" i="4"/>
  <c r="A1128" i="4"/>
  <c r="A763" i="4"/>
  <c r="B763" i="4"/>
  <c r="M763" i="4"/>
  <c r="C763" i="4"/>
  <c r="D763" i="4" s="1"/>
  <c r="H763" i="4" s="1"/>
  <c r="C423" i="4"/>
  <c r="D423" i="4" s="1"/>
  <c r="H423" i="4" s="1"/>
  <c r="B423" i="4"/>
  <c r="A423" i="4"/>
  <c r="M423" i="4"/>
  <c r="O1127" i="4" l="1"/>
  <c r="G83" i="4"/>
  <c r="I83" i="4" s="1"/>
  <c r="K83" i="4" s="1"/>
  <c r="F423" i="4"/>
  <c r="F763" i="4"/>
  <c r="G763" i="4" s="1"/>
  <c r="M1127" i="4"/>
  <c r="E84" i="4" l="1"/>
  <c r="N83" i="4"/>
  <c r="J83" i="4"/>
  <c r="O83" i="4"/>
  <c r="L83" i="4"/>
  <c r="I763" i="4"/>
  <c r="K763" i="4" s="1"/>
  <c r="J763" i="4"/>
  <c r="O763" i="4"/>
  <c r="L763" i="4"/>
  <c r="F1128" i="4"/>
  <c r="G423" i="4"/>
  <c r="J423" i="4" s="1"/>
  <c r="B84" i="4" l="1"/>
  <c r="A84" i="4"/>
  <c r="M84" i="4"/>
  <c r="C84" i="4"/>
  <c r="D84" i="4" s="1"/>
  <c r="H84" i="4" s="1"/>
  <c r="O423" i="4"/>
  <c r="I423" i="4"/>
  <c r="K423" i="4" s="1"/>
  <c r="L423" i="4"/>
  <c r="G1128" i="4"/>
  <c r="O1128" i="4" s="1"/>
  <c r="E764" i="4"/>
  <c r="N763" i="4"/>
  <c r="L1128" i="4"/>
  <c r="I1128" i="4" s="1"/>
  <c r="K1128" i="4" s="1"/>
  <c r="F84" i="4" l="1"/>
  <c r="E1129" i="4"/>
  <c r="N1128" i="4"/>
  <c r="B764" i="4"/>
  <c r="A764" i="4"/>
  <c r="C764" i="4"/>
  <c r="D764" i="4" s="1"/>
  <c r="H764" i="4" s="1"/>
  <c r="M764" i="4"/>
  <c r="E424" i="4"/>
  <c r="N423" i="4"/>
  <c r="J1128" i="4"/>
  <c r="G84" i="4" l="1"/>
  <c r="I84" i="4" s="1"/>
  <c r="K84" i="4" s="1"/>
  <c r="F764" i="4"/>
  <c r="G764" i="4" s="1"/>
  <c r="C424" i="4"/>
  <c r="D424" i="4" s="1"/>
  <c r="H424" i="4" s="1"/>
  <c r="B424" i="4"/>
  <c r="A424" i="4"/>
  <c r="M424" i="4"/>
  <c r="B1129" i="4"/>
  <c r="N1129" i="4"/>
  <c r="L1129" i="4"/>
  <c r="K1129" i="4"/>
  <c r="E1130" i="4" s="1"/>
  <c r="I1129" i="4"/>
  <c r="C1129" i="4"/>
  <c r="D1129" i="4" s="1"/>
  <c r="H1129" i="4" s="1"/>
  <c r="A1129" i="4"/>
  <c r="E85" i="4" l="1"/>
  <c r="N84" i="4"/>
  <c r="J84" i="4"/>
  <c r="O84" i="4"/>
  <c r="L84" i="4"/>
  <c r="F1129" i="4"/>
  <c r="F424" i="4"/>
  <c r="G424" i="4" s="1"/>
  <c r="A1130" i="4"/>
  <c r="M1130" i="4"/>
  <c r="C1130" i="4"/>
  <c r="D1130" i="4" s="1"/>
  <c r="H1130" i="4" s="1"/>
  <c r="B1130" i="4"/>
  <c r="J764" i="4"/>
  <c r="I764" i="4"/>
  <c r="K764" i="4" s="1"/>
  <c r="L764" i="4"/>
  <c r="O764" i="4"/>
  <c r="M85" i="4" l="1"/>
  <c r="A85" i="4"/>
  <c r="C85" i="4"/>
  <c r="D85" i="4"/>
  <c r="H85" i="4" s="1"/>
  <c r="B85" i="4"/>
  <c r="L424" i="4"/>
  <c r="O424" i="4"/>
  <c r="I424" i="4"/>
  <c r="K424" i="4" s="1"/>
  <c r="J424" i="4"/>
  <c r="E765" i="4"/>
  <c r="N764" i="4"/>
  <c r="G1129" i="4"/>
  <c r="M1129" i="4" s="1"/>
  <c r="F85" i="4" l="1"/>
  <c r="F1130" i="4"/>
  <c r="G1130" i="4" s="1"/>
  <c r="J1129" i="4"/>
  <c r="M765" i="4"/>
  <c r="B765" i="4"/>
  <c r="C765" i="4"/>
  <c r="D765" i="4" s="1"/>
  <c r="H765" i="4" s="1"/>
  <c r="A765" i="4"/>
  <c r="O1129" i="4"/>
  <c r="E425" i="4"/>
  <c r="N424" i="4"/>
  <c r="G85" i="4" l="1"/>
  <c r="I85" i="4" s="1"/>
  <c r="K85" i="4" s="1"/>
  <c r="F765" i="4"/>
  <c r="B425" i="4"/>
  <c r="A425" i="4"/>
  <c r="C425" i="4"/>
  <c r="D425" i="4" s="1"/>
  <c r="H425" i="4" s="1"/>
  <c r="M425" i="4"/>
  <c r="J1130" i="4"/>
  <c r="O1130" i="4"/>
  <c r="L1130" i="4"/>
  <c r="I1130" i="4" s="1"/>
  <c r="K1130" i="4" s="1"/>
  <c r="E86" i="4" l="1"/>
  <c r="N85" i="4"/>
  <c r="O85" i="4"/>
  <c r="J85" i="4"/>
  <c r="L85" i="4"/>
  <c r="F425" i="4"/>
  <c r="E1131" i="4"/>
  <c r="N1130" i="4"/>
  <c r="G765" i="4"/>
  <c r="L765" i="4" s="1"/>
  <c r="C86" i="4" l="1"/>
  <c r="D86" i="4" s="1"/>
  <c r="H86" i="4" s="1"/>
  <c r="B86" i="4"/>
  <c r="M86" i="4"/>
  <c r="A86" i="4"/>
  <c r="J765" i="4"/>
  <c r="O765" i="4"/>
  <c r="I765" i="4"/>
  <c r="K765" i="4" s="1"/>
  <c r="N1131" i="4"/>
  <c r="L1131" i="4"/>
  <c r="C1131" i="4"/>
  <c r="D1131" i="4" s="1"/>
  <c r="H1131" i="4" s="1"/>
  <c r="B1131" i="4"/>
  <c r="A1131" i="4"/>
  <c r="K1131" i="4"/>
  <c r="E1132" i="4" s="1"/>
  <c r="I1131" i="4"/>
  <c r="G425" i="4"/>
  <c r="I425" i="4" s="1"/>
  <c r="K425" i="4" s="1"/>
  <c r="F86" i="4" l="1"/>
  <c r="E426" i="4"/>
  <c r="N425" i="4"/>
  <c r="F1131" i="4"/>
  <c r="O425" i="4"/>
  <c r="J425" i="4"/>
  <c r="E766" i="4"/>
  <c r="N765" i="4"/>
  <c r="L425" i="4"/>
  <c r="M1132" i="4"/>
  <c r="C1132" i="4"/>
  <c r="D1132" i="4" s="1"/>
  <c r="H1132" i="4" s="1"/>
  <c r="B1132" i="4"/>
  <c r="A1132" i="4"/>
  <c r="G86" i="4" l="1"/>
  <c r="J86" i="4" s="1"/>
  <c r="M766" i="4"/>
  <c r="B766" i="4"/>
  <c r="C766" i="4"/>
  <c r="D766" i="4" s="1"/>
  <c r="H766" i="4" s="1"/>
  <c r="A766" i="4"/>
  <c r="G1131" i="4"/>
  <c r="O1131" i="4" s="1"/>
  <c r="A426" i="4"/>
  <c r="M426" i="4"/>
  <c r="C426" i="4"/>
  <c r="D426" i="4" s="1"/>
  <c r="H426" i="4" s="1"/>
  <c r="B426" i="4"/>
  <c r="O86" i="4" l="1"/>
  <c r="L86" i="4"/>
  <c r="I86" i="4"/>
  <c r="K86" i="4" s="1"/>
  <c r="F426" i="4"/>
  <c r="G426" i="4" s="1"/>
  <c r="F766" i="4"/>
  <c r="M1131" i="4"/>
  <c r="J1131" i="4"/>
  <c r="E87" i="4" l="1"/>
  <c r="N86" i="4"/>
  <c r="G766" i="4"/>
  <c r="L766" i="4" s="1"/>
  <c r="F1132" i="4"/>
  <c r="G1132" i="4" s="1"/>
  <c r="J426" i="4"/>
  <c r="I426" i="4"/>
  <c r="K426" i="4" s="1"/>
  <c r="O426" i="4"/>
  <c r="L426" i="4"/>
  <c r="C87" i="4" l="1"/>
  <c r="D87" i="4" s="1"/>
  <c r="H87" i="4" s="1"/>
  <c r="B87" i="4"/>
  <c r="A87" i="4"/>
  <c r="M87" i="4"/>
  <c r="O766" i="4"/>
  <c r="E427" i="4"/>
  <c r="N426" i="4"/>
  <c r="J1132" i="4"/>
  <c r="O1132" i="4"/>
  <c r="J766" i="4"/>
  <c r="I766" i="4"/>
  <c r="K766" i="4" s="1"/>
  <c r="L1132" i="4"/>
  <c r="I1132" i="4" s="1"/>
  <c r="K1132" i="4" s="1"/>
  <c r="F87" i="4" l="1"/>
  <c r="E1133" i="4"/>
  <c r="N1132" i="4"/>
  <c r="E767" i="4"/>
  <c r="N766" i="4"/>
  <c r="M427" i="4"/>
  <c r="A427" i="4"/>
  <c r="B427" i="4"/>
  <c r="C427" i="4"/>
  <c r="D427" i="4" s="1"/>
  <c r="H427" i="4" s="1"/>
  <c r="G87" i="4" l="1"/>
  <c r="O87" i="4" s="1"/>
  <c r="F427" i="4"/>
  <c r="G427" i="4" s="1"/>
  <c r="M767" i="4"/>
  <c r="C767" i="4"/>
  <c r="D767" i="4" s="1"/>
  <c r="H767" i="4" s="1"/>
  <c r="B767" i="4"/>
  <c r="A767" i="4"/>
  <c r="L1133" i="4"/>
  <c r="N1133" i="4"/>
  <c r="K1133" i="4"/>
  <c r="E1134" i="4" s="1"/>
  <c r="I1133" i="4"/>
  <c r="B1133" i="4"/>
  <c r="C1133" i="4"/>
  <c r="D1133" i="4" s="1"/>
  <c r="H1133" i="4" s="1"/>
  <c r="A1133" i="4"/>
  <c r="I87" i="4" l="1"/>
  <c r="K87" i="4" s="1"/>
  <c r="L87" i="4"/>
  <c r="J87" i="4"/>
  <c r="F1133" i="4"/>
  <c r="G1133" i="4" s="1"/>
  <c r="F767" i="4"/>
  <c r="M1134" i="4"/>
  <c r="B1134" i="4"/>
  <c r="A1134" i="4"/>
  <c r="C1134" i="4"/>
  <c r="D1134" i="4" s="1"/>
  <c r="H1134" i="4" s="1"/>
  <c r="L427" i="4"/>
  <c r="O427" i="4"/>
  <c r="J427" i="4"/>
  <c r="I427" i="4"/>
  <c r="K427" i="4" s="1"/>
  <c r="E88" i="4" l="1"/>
  <c r="N87" i="4"/>
  <c r="E428" i="4"/>
  <c r="N427" i="4"/>
  <c r="G767" i="4"/>
  <c r="O767" i="4" s="1"/>
  <c r="J1133" i="4"/>
  <c r="O1133" i="4"/>
  <c r="M1133" i="4"/>
  <c r="B88" i="4" l="1"/>
  <c r="A88" i="4"/>
  <c r="F88" i="4"/>
  <c r="D88" i="4"/>
  <c r="M88" i="4"/>
  <c r="K88" i="4"/>
  <c r="E89" i="4" s="1"/>
  <c r="I88" i="4"/>
  <c r="N88" i="4"/>
  <c r="L88" i="4"/>
  <c r="O88" i="4"/>
  <c r="J88" i="4"/>
  <c r="H88" i="4"/>
  <c r="G88" i="4"/>
  <c r="C88" i="4"/>
  <c r="L767" i="4"/>
  <c r="J767" i="4"/>
  <c r="I767" i="4"/>
  <c r="K767" i="4" s="1"/>
  <c r="M428" i="4"/>
  <c r="C428" i="4"/>
  <c r="D428" i="4" s="1"/>
  <c r="H428" i="4" s="1"/>
  <c r="B428" i="4"/>
  <c r="A428" i="4"/>
  <c r="F1134" i="4"/>
  <c r="B89" i="4" l="1"/>
  <c r="A89" i="4"/>
  <c r="C89" i="4"/>
  <c r="N89" i="4"/>
  <c r="M89" i="4"/>
  <c r="L89" i="4"/>
  <c r="K89" i="4"/>
  <c r="E90" i="4" s="1"/>
  <c r="J89" i="4"/>
  <c r="I89" i="4"/>
  <c r="H89" i="4"/>
  <c r="G89" i="4"/>
  <c r="F89" i="4"/>
  <c r="O89" i="4"/>
  <c r="D89" i="4"/>
  <c r="F428" i="4"/>
  <c r="G1134" i="4"/>
  <c r="O1134" i="4" s="1"/>
  <c r="E768" i="4"/>
  <c r="N767" i="4"/>
  <c r="L1134" i="4"/>
  <c r="I1134" i="4" s="1"/>
  <c r="K1134" i="4" s="1"/>
  <c r="L90" i="4" l="1"/>
  <c r="K90" i="4"/>
  <c r="E91" i="4" s="1"/>
  <c r="J90" i="4"/>
  <c r="I90" i="4"/>
  <c r="H90" i="4"/>
  <c r="G90" i="4"/>
  <c r="A90" i="4"/>
  <c r="C90" i="4"/>
  <c r="D90" i="4"/>
  <c r="F90" i="4"/>
  <c r="B90" i="4"/>
  <c r="O90" i="4"/>
  <c r="N90" i="4"/>
  <c r="M90" i="4"/>
  <c r="M768" i="4"/>
  <c r="B768" i="4"/>
  <c r="A768" i="4"/>
  <c r="C768" i="4"/>
  <c r="D768" i="4" s="1"/>
  <c r="H768" i="4" s="1"/>
  <c r="J1134" i="4"/>
  <c r="E1135" i="4"/>
  <c r="N1134" i="4"/>
  <c r="G428" i="4"/>
  <c r="J428" i="4" s="1"/>
  <c r="M91" i="4" l="1"/>
  <c r="L91" i="4"/>
  <c r="O91" i="4"/>
  <c r="H91" i="4"/>
  <c r="G91" i="4"/>
  <c r="B91" i="4"/>
  <c r="A91" i="4"/>
  <c r="K91" i="4"/>
  <c r="E92" i="4" s="1"/>
  <c r="J91" i="4"/>
  <c r="D91" i="4"/>
  <c r="F91" i="4"/>
  <c r="I91" i="4"/>
  <c r="C91" i="4"/>
  <c r="N91" i="4"/>
  <c r="F768" i="4"/>
  <c r="G768" i="4" s="1"/>
  <c r="L428" i="4"/>
  <c r="I428" i="4"/>
  <c r="K428" i="4" s="1"/>
  <c r="O428" i="4"/>
  <c r="N1135" i="4"/>
  <c r="C1135" i="4"/>
  <c r="D1135" i="4" s="1"/>
  <c r="H1135" i="4" s="1"/>
  <c r="B1135" i="4"/>
  <c r="A1135" i="4"/>
  <c r="L1135" i="4"/>
  <c r="K1135" i="4"/>
  <c r="E1136" i="4" s="1"/>
  <c r="I1135" i="4"/>
  <c r="L92" i="4" l="1"/>
  <c r="K92" i="4"/>
  <c r="E93" i="4" s="1"/>
  <c r="J92" i="4"/>
  <c r="I92" i="4"/>
  <c r="F92" i="4"/>
  <c r="A92" i="4"/>
  <c r="O92" i="4"/>
  <c r="G92" i="4"/>
  <c r="D92" i="4"/>
  <c r="H92" i="4"/>
  <c r="B92" i="4"/>
  <c r="N92" i="4"/>
  <c r="C92" i="4"/>
  <c r="M92" i="4"/>
  <c r="F1135" i="4"/>
  <c r="M1136" i="4"/>
  <c r="C1136" i="4"/>
  <c r="D1136" i="4" s="1"/>
  <c r="H1136" i="4" s="1"/>
  <c r="B1136" i="4"/>
  <c r="A1136" i="4"/>
  <c r="E429" i="4"/>
  <c r="N428" i="4"/>
  <c r="J768" i="4"/>
  <c r="L768" i="4"/>
  <c r="I768" i="4"/>
  <c r="K768" i="4" s="1"/>
  <c r="O768" i="4"/>
  <c r="K93" i="4" l="1"/>
  <c r="E94" i="4" s="1"/>
  <c r="H93" i="4"/>
  <c r="G93" i="4"/>
  <c r="O93" i="4"/>
  <c r="M93" i="4"/>
  <c r="C93" i="4"/>
  <c r="L93" i="4"/>
  <c r="J93" i="4"/>
  <c r="I93" i="4"/>
  <c r="D93" i="4"/>
  <c r="F93" i="4"/>
  <c r="A93" i="4"/>
  <c r="B93" i="4"/>
  <c r="N93" i="4"/>
  <c r="E769" i="4"/>
  <c r="N768" i="4"/>
  <c r="B429" i="4"/>
  <c r="M429" i="4"/>
  <c r="C429" i="4"/>
  <c r="D429" i="4" s="1"/>
  <c r="H429" i="4" s="1"/>
  <c r="A429" i="4"/>
  <c r="G1135" i="4"/>
  <c r="J1135" i="4" s="1"/>
  <c r="K94" i="4" l="1"/>
  <c r="E95" i="4" s="1"/>
  <c r="F94" i="4"/>
  <c r="I94" i="4"/>
  <c r="H94" i="4"/>
  <c r="N94" i="4"/>
  <c r="A94" i="4"/>
  <c r="G94" i="4"/>
  <c r="J94" i="4"/>
  <c r="L94" i="4"/>
  <c r="O94" i="4"/>
  <c r="M94" i="4"/>
  <c r="D94" i="4"/>
  <c r="C94" i="4"/>
  <c r="B94" i="4"/>
  <c r="M1135" i="4"/>
  <c r="O1135" i="4"/>
  <c r="M769" i="4"/>
  <c r="C769" i="4"/>
  <c r="A769" i="4"/>
  <c r="D769" i="4"/>
  <c r="H769" i="4" s="1"/>
  <c r="B769" i="4"/>
  <c r="F429" i="4"/>
  <c r="C95" i="4" l="1"/>
  <c r="H95" i="4"/>
  <c r="B95" i="4"/>
  <c r="A95" i="4"/>
  <c r="I95" i="4"/>
  <c r="O95" i="4"/>
  <c r="N95" i="4"/>
  <c r="J95" i="4"/>
  <c r="M95" i="4"/>
  <c r="L95" i="4"/>
  <c r="G95" i="4"/>
  <c r="K95" i="4"/>
  <c r="E96" i="4" s="1"/>
  <c r="F95" i="4"/>
  <c r="D95" i="4"/>
  <c r="F769" i="4"/>
  <c r="G769" i="4" s="1"/>
  <c r="F1136" i="4"/>
  <c r="G1136" i="4" s="1"/>
  <c r="G429" i="4"/>
  <c r="O429" i="4" s="1"/>
  <c r="K96" i="4" l="1"/>
  <c r="E97" i="4" s="1"/>
  <c r="F96" i="4"/>
  <c r="D96" i="4"/>
  <c r="B96" i="4"/>
  <c r="A96" i="4"/>
  <c r="J96" i="4"/>
  <c r="I96" i="4"/>
  <c r="M96" i="4"/>
  <c r="O96" i="4"/>
  <c r="G96" i="4"/>
  <c r="C96" i="4"/>
  <c r="L96" i="4"/>
  <c r="H96" i="4"/>
  <c r="N96" i="4"/>
  <c r="L429" i="4"/>
  <c r="I429" i="4"/>
  <c r="K429" i="4" s="1"/>
  <c r="J429" i="4"/>
  <c r="J1136" i="4"/>
  <c r="O1136" i="4"/>
  <c r="L1136" i="4"/>
  <c r="I1136" i="4" s="1"/>
  <c r="K1136" i="4" s="1"/>
  <c r="O769" i="4"/>
  <c r="J769" i="4"/>
  <c r="I769" i="4"/>
  <c r="K769" i="4" s="1"/>
  <c r="L769" i="4"/>
  <c r="B97" i="4" l="1"/>
  <c r="A97" i="4"/>
  <c r="K97" i="4"/>
  <c r="E98" i="4" s="1"/>
  <c r="I97" i="4"/>
  <c r="N97" i="4"/>
  <c r="L97" i="4"/>
  <c r="H97" i="4"/>
  <c r="G97" i="4"/>
  <c r="F97" i="4"/>
  <c r="C97" i="4"/>
  <c r="J97" i="4"/>
  <c r="M97" i="4"/>
  <c r="D97" i="4"/>
  <c r="O97" i="4"/>
  <c r="E770" i="4"/>
  <c r="N769" i="4"/>
  <c r="E430" i="4"/>
  <c r="N429" i="4"/>
  <c r="E1137" i="4"/>
  <c r="N1136" i="4"/>
  <c r="C98" i="4" l="1"/>
  <c r="D98" i="4"/>
  <c r="J98" i="4"/>
  <c r="B98" i="4"/>
  <c r="I98" i="4"/>
  <c r="H98" i="4"/>
  <c r="O98" i="4"/>
  <c r="N98" i="4"/>
  <c r="M98" i="4"/>
  <c r="K98" i="4"/>
  <c r="E99" i="4" s="1"/>
  <c r="G98" i="4"/>
  <c r="A98" i="4"/>
  <c r="L98" i="4"/>
  <c r="F98" i="4"/>
  <c r="N1137" i="4"/>
  <c r="L1137" i="4"/>
  <c r="K1137" i="4"/>
  <c r="E1138" i="4" s="1"/>
  <c r="I1137" i="4"/>
  <c r="C1137" i="4"/>
  <c r="D1137" i="4" s="1"/>
  <c r="H1137" i="4" s="1"/>
  <c r="B1137" i="4"/>
  <c r="A1137" i="4"/>
  <c r="B430" i="4"/>
  <c r="A430" i="4"/>
  <c r="C430" i="4"/>
  <c r="D430" i="4" s="1"/>
  <c r="H430" i="4" s="1"/>
  <c r="M430" i="4"/>
  <c r="M770" i="4"/>
  <c r="C770" i="4"/>
  <c r="D770" i="4" s="1"/>
  <c r="H770" i="4" s="1"/>
  <c r="B770" i="4"/>
  <c r="A770" i="4"/>
  <c r="I99" i="4" l="1"/>
  <c r="L99" i="4"/>
  <c r="K99" i="4"/>
  <c r="E100" i="4" s="1"/>
  <c r="J99" i="4"/>
  <c r="F99" i="4"/>
  <c r="D99" i="4"/>
  <c r="H99" i="4"/>
  <c r="G99" i="4"/>
  <c r="A99" i="4"/>
  <c r="O99" i="4"/>
  <c r="M99" i="4"/>
  <c r="N99" i="4"/>
  <c r="C99" i="4"/>
  <c r="B99" i="4"/>
  <c r="F770" i="4"/>
  <c r="G770" i="4" s="1"/>
  <c r="F430" i="4"/>
  <c r="F1137" i="4"/>
  <c r="M1138" i="4"/>
  <c r="C1138" i="4"/>
  <c r="D1138" i="4"/>
  <c r="H1138" i="4" s="1"/>
  <c r="B1138" i="4"/>
  <c r="A1138" i="4"/>
  <c r="J100" i="4" l="1"/>
  <c r="I100" i="4"/>
  <c r="H100" i="4"/>
  <c r="B100" i="4"/>
  <c r="M100" i="4"/>
  <c r="L100" i="4"/>
  <c r="K100" i="4"/>
  <c r="E101" i="4" s="1"/>
  <c r="G100" i="4"/>
  <c r="D100" i="4"/>
  <c r="C100" i="4"/>
  <c r="N100" i="4"/>
  <c r="F100" i="4"/>
  <c r="A100" i="4"/>
  <c r="O100" i="4"/>
  <c r="G430" i="4"/>
  <c r="I430" i="4" s="1"/>
  <c r="K430" i="4" s="1"/>
  <c r="G1137" i="4"/>
  <c r="O1137" i="4" s="1"/>
  <c r="L770" i="4"/>
  <c r="J770" i="4"/>
  <c r="O770" i="4"/>
  <c r="I770" i="4"/>
  <c r="K770" i="4" s="1"/>
  <c r="J101" i="4" l="1"/>
  <c r="K101" i="4"/>
  <c r="E102" i="4" s="1"/>
  <c r="M101" i="4"/>
  <c r="L101" i="4"/>
  <c r="I101" i="4"/>
  <c r="G101" i="4"/>
  <c r="F101" i="4"/>
  <c r="H101" i="4"/>
  <c r="D101" i="4"/>
  <c r="C101" i="4"/>
  <c r="B101" i="4"/>
  <c r="O101" i="4"/>
  <c r="N101" i="4"/>
  <c r="A101" i="4"/>
  <c r="E431" i="4"/>
  <c r="N430" i="4"/>
  <c r="J1137" i="4"/>
  <c r="M1137" i="4"/>
  <c r="O430" i="4"/>
  <c r="L430" i="4"/>
  <c r="J430" i="4"/>
  <c r="E771" i="4"/>
  <c r="N770" i="4"/>
  <c r="G102" i="4" l="1"/>
  <c r="C102" i="4"/>
  <c r="B102" i="4"/>
  <c r="M102" i="4"/>
  <c r="J102" i="4"/>
  <c r="I102" i="4"/>
  <c r="L102" i="4"/>
  <c r="K102" i="4"/>
  <c r="E103" i="4" s="1"/>
  <c r="O102" i="4"/>
  <c r="N102" i="4"/>
  <c r="F102" i="4"/>
  <c r="D102" i="4"/>
  <c r="H102" i="4"/>
  <c r="A102" i="4"/>
  <c r="M771" i="4"/>
  <c r="C771" i="4"/>
  <c r="D771" i="4" s="1"/>
  <c r="H771" i="4" s="1"/>
  <c r="A771" i="4"/>
  <c r="B771" i="4"/>
  <c r="F1138" i="4"/>
  <c r="G1138" i="4" s="1"/>
  <c r="C431" i="4"/>
  <c r="D431" i="4" s="1"/>
  <c r="H431" i="4" s="1"/>
  <c r="B431" i="4"/>
  <c r="A431" i="4"/>
  <c r="M431" i="4"/>
  <c r="H103" i="4" l="1"/>
  <c r="A103" i="4"/>
  <c r="N103" i="4"/>
  <c r="G103" i="4"/>
  <c r="B103" i="4"/>
  <c r="I103" i="4"/>
  <c r="F103" i="4"/>
  <c r="C103" i="4"/>
  <c r="O103" i="4"/>
  <c r="M103" i="4"/>
  <c r="D103" i="4"/>
  <c r="L103" i="4"/>
  <c r="K103" i="4"/>
  <c r="E104" i="4" s="1"/>
  <c r="J103" i="4"/>
  <c r="F431" i="4"/>
  <c r="F771" i="4"/>
  <c r="O1138" i="4"/>
  <c r="J1138" i="4"/>
  <c r="L1138" i="4"/>
  <c r="I1138" i="4" s="1"/>
  <c r="K1138" i="4" s="1"/>
  <c r="G104" i="4" l="1"/>
  <c r="F104" i="4"/>
  <c r="C104" i="4"/>
  <c r="K104" i="4"/>
  <c r="E105" i="4" s="1"/>
  <c r="J104" i="4"/>
  <c r="I104" i="4"/>
  <c r="H104" i="4"/>
  <c r="O104" i="4"/>
  <c r="D104" i="4"/>
  <c r="N104" i="4"/>
  <c r="M104" i="4"/>
  <c r="L104" i="4"/>
  <c r="A104" i="4"/>
  <c r="B104" i="4"/>
  <c r="E1139" i="4"/>
  <c r="N1138" i="4"/>
  <c r="G771" i="4"/>
  <c r="O771" i="4" s="1"/>
  <c r="G431" i="4"/>
  <c r="I431" i="4" s="1"/>
  <c r="K431" i="4" s="1"/>
  <c r="D105" i="4" l="1"/>
  <c r="G105" i="4"/>
  <c r="N105" i="4"/>
  <c r="K105" i="4"/>
  <c r="E106" i="4" s="1"/>
  <c r="H105" i="4"/>
  <c r="C105" i="4"/>
  <c r="B105" i="4"/>
  <c r="O105" i="4"/>
  <c r="A105" i="4"/>
  <c r="L105" i="4"/>
  <c r="I105" i="4"/>
  <c r="F105" i="4"/>
  <c r="M105" i="4"/>
  <c r="J105" i="4"/>
  <c r="E432" i="4"/>
  <c r="N431" i="4"/>
  <c r="J431" i="4"/>
  <c r="L771" i="4"/>
  <c r="O431" i="4"/>
  <c r="L431" i="4"/>
  <c r="I771" i="4"/>
  <c r="K771" i="4" s="1"/>
  <c r="J771" i="4"/>
  <c r="N1139" i="4"/>
  <c r="C1139" i="4"/>
  <c r="D1139" i="4" s="1"/>
  <c r="H1139" i="4" s="1"/>
  <c r="B1139" i="4"/>
  <c r="A1139" i="4"/>
  <c r="L1139" i="4"/>
  <c r="K1139" i="4"/>
  <c r="E1140" i="4" s="1"/>
  <c r="I1139" i="4"/>
  <c r="F106" i="4" l="1"/>
  <c r="N106" i="4"/>
  <c r="C106" i="4"/>
  <c r="L106" i="4"/>
  <c r="K106" i="4"/>
  <c r="E107" i="4" s="1"/>
  <c r="H106" i="4"/>
  <c r="I106" i="4"/>
  <c r="B106" i="4"/>
  <c r="O106" i="4"/>
  <c r="A106" i="4"/>
  <c r="J106" i="4"/>
  <c r="D106" i="4"/>
  <c r="G106" i="4"/>
  <c r="M106" i="4"/>
  <c r="F1139" i="4"/>
  <c r="G1139" i="4"/>
  <c r="E772" i="4"/>
  <c r="N771" i="4"/>
  <c r="M1140" i="4"/>
  <c r="C1140" i="4"/>
  <c r="D1140" i="4" s="1"/>
  <c r="H1140" i="4" s="1"/>
  <c r="B1140" i="4"/>
  <c r="A1140" i="4"/>
  <c r="M432" i="4"/>
  <c r="C432" i="4"/>
  <c r="D432" i="4" s="1"/>
  <c r="H432" i="4" s="1"/>
  <c r="B432" i="4"/>
  <c r="A432" i="4"/>
  <c r="I107" i="4" l="1"/>
  <c r="N107" i="4"/>
  <c r="M107" i="4"/>
  <c r="F107" i="4"/>
  <c r="D107" i="4"/>
  <c r="G107" i="4"/>
  <c r="C107" i="4"/>
  <c r="L107" i="4"/>
  <c r="J107" i="4"/>
  <c r="O107" i="4"/>
  <c r="A107" i="4"/>
  <c r="K107" i="4"/>
  <c r="E108" i="4" s="1"/>
  <c r="B107" i="4"/>
  <c r="H107" i="4"/>
  <c r="F432" i="4"/>
  <c r="M772" i="4"/>
  <c r="A772" i="4"/>
  <c r="B772" i="4"/>
  <c r="C772" i="4"/>
  <c r="D772" i="4" s="1"/>
  <c r="H772" i="4" s="1"/>
  <c r="O1139" i="4"/>
  <c r="M1139" i="4"/>
  <c r="J1139" i="4"/>
  <c r="J108" i="4" l="1"/>
  <c r="O108" i="4"/>
  <c r="K108" i="4"/>
  <c r="E109" i="4" s="1"/>
  <c r="I108" i="4"/>
  <c r="N108" i="4"/>
  <c r="M108" i="4"/>
  <c r="G108" i="4"/>
  <c r="B108" i="4"/>
  <c r="L108" i="4"/>
  <c r="H108" i="4"/>
  <c r="F108" i="4"/>
  <c r="C108" i="4"/>
  <c r="D108" i="4"/>
  <c r="A108" i="4"/>
  <c r="F772" i="4"/>
  <c r="F1140" i="4"/>
  <c r="G432" i="4"/>
  <c r="O432" i="4" s="1"/>
  <c r="B109" i="4" l="1"/>
  <c r="O109" i="4"/>
  <c r="M109" i="4"/>
  <c r="N109" i="4"/>
  <c r="K109" i="4"/>
  <c r="E110" i="4" s="1"/>
  <c r="F109" i="4"/>
  <c r="C109" i="4"/>
  <c r="L109" i="4"/>
  <c r="J109" i="4"/>
  <c r="I109" i="4"/>
  <c r="A109" i="4"/>
  <c r="H109" i="4"/>
  <c r="D109" i="4"/>
  <c r="G109" i="4"/>
  <c r="L432" i="4"/>
  <c r="G1140" i="4"/>
  <c r="O1140" i="4" s="1"/>
  <c r="J432" i="4"/>
  <c r="I432" i="4"/>
  <c r="K432" i="4" s="1"/>
  <c r="L1140" i="4"/>
  <c r="I1140" i="4" s="1"/>
  <c r="K1140" i="4" s="1"/>
  <c r="G772" i="4"/>
  <c r="O772" i="4" s="1"/>
  <c r="C110" i="4" l="1"/>
  <c r="M110" i="4"/>
  <c r="I110" i="4"/>
  <c r="G110" i="4"/>
  <c r="F110" i="4"/>
  <c r="B110" i="4"/>
  <c r="O110" i="4"/>
  <c r="D110" i="4"/>
  <c r="A110" i="4"/>
  <c r="K110" i="4"/>
  <c r="E111" i="4" s="1"/>
  <c r="N110" i="4"/>
  <c r="H110" i="4"/>
  <c r="L110" i="4"/>
  <c r="J110" i="4"/>
  <c r="E1141" i="4"/>
  <c r="N1140" i="4"/>
  <c r="E433" i="4"/>
  <c r="N432" i="4"/>
  <c r="J772" i="4"/>
  <c r="L772" i="4"/>
  <c r="I772" i="4"/>
  <c r="K772" i="4" s="1"/>
  <c r="J1140" i="4"/>
  <c r="B111" i="4" l="1"/>
  <c r="A111" i="4"/>
  <c r="D111" i="4"/>
  <c r="K111" i="4"/>
  <c r="E112" i="4" s="1"/>
  <c r="J111" i="4"/>
  <c r="I111" i="4"/>
  <c r="M111" i="4"/>
  <c r="L111" i="4"/>
  <c r="F111" i="4"/>
  <c r="G111" i="4"/>
  <c r="C111" i="4"/>
  <c r="O111" i="4"/>
  <c r="N111" i="4"/>
  <c r="H111" i="4"/>
  <c r="E773" i="4"/>
  <c r="N772" i="4"/>
  <c r="M433" i="4"/>
  <c r="A433" i="4"/>
  <c r="B433" i="4"/>
  <c r="C433" i="4"/>
  <c r="D433" i="4" s="1"/>
  <c r="H433" i="4" s="1"/>
  <c r="N1141" i="4"/>
  <c r="I1141" i="4"/>
  <c r="C1141" i="4"/>
  <c r="D1141" i="4" s="1"/>
  <c r="H1141" i="4" s="1"/>
  <c r="B1141" i="4"/>
  <c r="L1141" i="4"/>
  <c r="K1141" i="4"/>
  <c r="E1142" i="4" s="1"/>
  <c r="A1141" i="4"/>
  <c r="N112" i="4" l="1"/>
  <c r="M112" i="4"/>
  <c r="K112" i="4"/>
  <c r="E113" i="4" s="1"/>
  <c r="D112" i="4"/>
  <c r="G112" i="4"/>
  <c r="F112" i="4"/>
  <c r="O112" i="4"/>
  <c r="C112" i="4"/>
  <c r="I112" i="4"/>
  <c r="L112" i="4"/>
  <c r="J112" i="4"/>
  <c r="H112" i="4"/>
  <c r="B112" i="4"/>
  <c r="A112" i="4"/>
  <c r="F1141" i="4"/>
  <c r="G1141" i="4"/>
  <c r="F433" i="4"/>
  <c r="G433" i="4" s="1"/>
  <c r="C1142" i="4"/>
  <c r="D1142" i="4" s="1"/>
  <c r="H1142" i="4" s="1"/>
  <c r="M1142" i="4"/>
  <c r="A1142" i="4"/>
  <c r="B1142" i="4"/>
  <c r="M773" i="4"/>
  <c r="C773" i="4"/>
  <c r="D773" i="4" s="1"/>
  <c r="H773" i="4" s="1"/>
  <c r="B773" i="4"/>
  <c r="A773" i="4"/>
  <c r="G113" i="4" l="1"/>
  <c r="D113" i="4"/>
  <c r="C113" i="4"/>
  <c r="F113" i="4"/>
  <c r="K113" i="4"/>
  <c r="E114" i="4" s="1"/>
  <c r="I113" i="4"/>
  <c r="B113" i="4"/>
  <c r="A113" i="4"/>
  <c r="O113" i="4"/>
  <c r="N113" i="4"/>
  <c r="M113" i="4"/>
  <c r="L113" i="4"/>
  <c r="J113" i="4"/>
  <c r="H113" i="4"/>
  <c r="F773" i="4"/>
  <c r="G773" i="4" s="1"/>
  <c r="O433" i="4"/>
  <c r="J433" i="4"/>
  <c r="I433" i="4"/>
  <c r="K433" i="4" s="1"/>
  <c r="L433" i="4"/>
  <c r="O1141" i="4"/>
  <c r="M1141" i="4"/>
  <c r="J1141" i="4"/>
  <c r="J114" i="4" l="1"/>
  <c r="F114" i="4"/>
  <c r="B114" i="4"/>
  <c r="L114" i="4"/>
  <c r="N114" i="4"/>
  <c r="H114" i="4"/>
  <c r="D114" i="4"/>
  <c r="G114" i="4"/>
  <c r="C114" i="4"/>
  <c r="A114" i="4"/>
  <c r="O114" i="4"/>
  <c r="I114" i="4"/>
  <c r="K114" i="4"/>
  <c r="E115" i="4" s="1"/>
  <c r="M114" i="4"/>
  <c r="F1142" i="4"/>
  <c r="E434" i="4"/>
  <c r="N433" i="4"/>
  <c r="G1142" i="4"/>
  <c r="J773" i="4"/>
  <c r="L773" i="4"/>
  <c r="I773" i="4"/>
  <c r="K773" i="4" s="1"/>
  <c r="O773" i="4"/>
  <c r="M115" i="4" l="1"/>
  <c r="O115" i="4"/>
  <c r="K115" i="4"/>
  <c r="E116" i="4" s="1"/>
  <c r="J115" i="4"/>
  <c r="C115" i="4"/>
  <c r="A115" i="4"/>
  <c r="H115" i="4"/>
  <c r="N115" i="4"/>
  <c r="L115" i="4"/>
  <c r="G115" i="4"/>
  <c r="F115" i="4"/>
  <c r="I115" i="4"/>
  <c r="D115" i="4"/>
  <c r="B115" i="4"/>
  <c r="A434" i="4"/>
  <c r="M434" i="4"/>
  <c r="C434" i="4"/>
  <c r="D434" i="4" s="1"/>
  <c r="H434" i="4" s="1"/>
  <c r="B434" i="4"/>
  <c r="E774" i="4"/>
  <c r="N773" i="4"/>
  <c r="O1142" i="4"/>
  <c r="J1142" i="4"/>
  <c r="L1142" i="4"/>
  <c r="I1142" i="4" s="1"/>
  <c r="K1142" i="4" s="1"/>
  <c r="H116" i="4" l="1"/>
  <c r="B116" i="4"/>
  <c r="L116" i="4"/>
  <c r="G116" i="4"/>
  <c r="O116" i="4"/>
  <c r="D116" i="4"/>
  <c r="C116" i="4"/>
  <c r="N116" i="4"/>
  <c r="A116" i="4"/>
  <c r="F116" i="4"/>
  <c r="M116" i="4"/>
  <c r="J116" i="4"/>
  <c r="I116" i="4"/>
  <c r="K116" i="4"/>
  <c r="E117" i="4" s="1"/>
  <c r="F434" i="4"/>
  <c r="E1143" i="4"/>
  <c r="N1142" i="4"/>
  <c r="M774" i="4"/>
  <c r="C774" i="4"/>
  <c r="D774" i="4" s="1"/>
  <c r="H774" i="4" s="1"/>
  <c r="A774" i="4"/>
  <c r="B774" i="4"/>
  <c r="I117" i="4" l="1"/>
  <c r="C117" i="4"/>
  <c r="L117" i="4"/>
  <c r="H117" i="4"/>
  <c r="B117" i="4"/>
  <c r="G117" i="4"/>
  <c r="A117" i="4"/>
  <c r="F117" i="4"/>
  <c r="D117" i="4"/>
  <c r="O117" i="4"/>
  <c r="N117" i="4"/>
  <c r="M117" i="4"/>
  <c r="K117" i="4"/>
  <c r="E118" i="4" s="1"/>
  <c r="J117" i="4"/>
  <c r="F774" i="4"/>
  <c r="B1143" i="4"/>
  <c r="N1143" i="4"/>
  <c r="L1143" i="4"/>
  <c r="C1143" i="4"/>
  <c r="D1143" i="4" s="1"/>
  <c r="H1143" i="4" s="1"/>
  <c r="A1143" i="4"/>
  <c r="K1143" i="4"/>
  <c r="E1144" i="4" s="1"/>
  <c r="I1143" i="4"/>
  <c r="G434" i="4"/>
  <c r="L434" i="4" s="1"/>
  <c r="K118" i="4" l="1"/>
  <c r="E119" i="4" s="1"/>
  <c r="J118" i="4"/>
  <c r="I118" i="4"/>
  <c r="G118" i="4"/>
  <c r="D118" i="4"/>
  <c r="C118" i="4"/>
  <c r="N118" i="4"/>
  <c r="H118" i="4"/>
  <c r="B118" i="4"/>
  <c r="L118" i="4"/>
  <c r="F118" i="4"/>
  <c r="A118" i="4"/>
  <c r="M118" i="4"/>
  <c r="O118" i="4"/>
  <c r="F1143" i="4"/>
  <c r="I434" i="4"/>
  <c r="K434" i="4" s="1"/>
  <c r="O434" i="4"/>
  <c r="A1144" i="4"/>
  <c r="M1144" i="4"/>
  <c r="C1144" i="4"/>
  <c r="D1144" i="4" s="1"/>
  <c r="H1144" i="4" s="1"/>
  <c r="B1144" i="4"/>
  <c r="J434" i="4"/>
  <c r="G774" i="4"/>
  <c r="L774" i="4" s="1"/>
  <c r="J119" i="4" l="1"/>
  <c r="C119" i="4"/>
  <c r="O119" i="4"/>
  <c r="A119" i="4"/>
  <c r="D119" i="4"/>
  <c r="I119" i="4"/>
  <c r="H119" i="4"/>
  <c r="B119" i="4"/>
  <c r="M119" i="4"/>
  <c r="K119" i="4"/>
  <c r="E120" i="4" s="1"/>
  <c r="G119" i="4"/>
  <c r="F119" i="4"/>
  <c r="N119" i="4"/>
  <c r="L119" i="4"/>
  <c r="O774" i="4"/>
  <c r="J774" i="4"/>
  <c r="E435" i="4"/>
  <c r="N434" i="4"/>
  <c r="I774" i="4"/>
  <c r="K774" i="4" s="1"/>
  <c r="G1143" i="4"/>
  <c r="O1143" i="4" s="1"/>
  <c r="C120" i="4" l="1"/>
  <c r="M120" i="4"/>
  <c r="B120" i="4"/>
  <c r="O120" i="4"/>
  <c r="N120" i="4"/>
  <c r="G120" i="4"/>
  <c r="D120" i="4"/>
  <c r="K120" i="4"/>
  <c r="E121" i="4" s="1"/>
  <c r="H120" i="4"/>
  <c r="A120" i="4"/>
  <c r="F120" i="4"/>
  <c r="I120" i="4"/>
  <c r="L120" i="4"/>
  <c r="J120" i="4"/>
  <c r="M1143" i="4"/>
  <c r="J1143" i="4"/>
  <c r="C435" i="4"/>
  <c r="D435" i="4" s="1"/>
  <c r="H435" i="4" s="1"/>
  <c r="B435" i="4"/>
  <c r="M435" i="4"/>
  <c r="A435" i="4"/>
  <c r="E775" i="4"/>
  <c r="N774" i="4"/>
  <c r="M121" i="4" l="1"/>
  <c r="I121" i="4"/>
  <c r="H121" i="4"/>
  <c r="G121" i="4"/>
  <c r="F121" i="4"/>
  <c r="C121" i="4"/>
  <c r="J121" i="4"/>
  <c r="N121" i="4"/>
  <c r="D121" i="4"/>
  <c r="B121" i="4"/>
  <c r="L121" i="4"/>
  <c r="K121" i="4"/>
  <c r="E122" i="4" s="1"/>
  <c r="O121" i="4"/>
  <c r="A121" i="4"/>
  <c r="F435" i="4"/>
  <c r="C775" i="4"/>
  <c r="M775" i="4"/>
  <c r="D775" i="4"/>
  <c r="H775" i="4" s="1"/>
  <c r="B775" i="4"/>
  <c r="A775" i="4"/>
  <c r="F1144" i="4"/>
  <c r="G1144" i="4" s="1"/>
  <c r="D122" i="4" l="1"/>
  <c r="C122" i="4"/>
  <c r="O122" i="4"/>
  <c r="B122" i="4"/>
  <c r="N122" i="4"/>
  <c r="M122" i="4"/>
  <c r="L122" i="4"/>
  <c r="K122" i="4"/>
  <c r="E123" i="4" s="1"/>
  <c r="J122" i="4"/>
  <c r="A122" i="4"/>
  <c r="I122" i="4"/>
  <c r="G122" i="4"/>
  <c r="H122" i="4"/>
  <c r="F122" i="4"/>
  <c r="F775" i="4"/>
  <c r="G775" i="4" s="1"/>
  <c r="J1144" i="4"/>
  <c r="O1144" i="4"/>
  <c r="L1144" i="4"/>
  <c r="I1144" i="4" s="1"/>
  <c r="K1144" i="4" s="1"/>
  <c r="G435" i="4"/>
  <c r="L435" i="4" s="1"/>
  <c r="J123" i="4" l="1"/>
  <c r="I123" i="4"/>
  <c r="F123" i="4"/>
  <c r="B123" i="4"/>
  <c r="M123" i="4"/>
  <c r="N123" i="4"/>
  <c r="L123" i="4"/>
  <c r="O123" i="4"/>
  <c r="H123" i="4"/>
  <c r="G123" i="4"/>
  <c r="C123" i="4"/>
  <c r="D123" i="4"/>
  <c r="A123" i="4"/>
  <c r="K123" i="4"/>
  <c r="E124" i="4" s="1"/>
  <c r="I435" i="4"/>
  <c r="K435" i="4" s="1"/>
  <c r="O435" i="4"/>
  <c r="E1145" i="4"/>
  <c r="N1144" i="4"/>
  <c r="J435" i="4"/>
  <c r="O775" i="4"/>
  <c r="J775" i="4"/>
  <c r="L775" i="4"/>
  <c r="I775" i="4"/>
  <c r="K775" i="4" s="1"/>
  <c r="G124" i="4" l="1"/>
  <c r="C124" i="4"/>
  <c r="F124" i="4"/>
  <c r="D124" i="4"/>
  <c r="B124" i="4"/>
  <c r="L124" i="4"/>
  <c r="K124" i="4"/>
  <c r="E125" i="4" s="1"/>
  <c r="N124" i="4"/>
  <c r="H124" i="4"/>
  <c r="O124" i="4"/>
  <c r="M124" i="4"/>
  <c r="I124" i="4"/>
  <c r="J124" i="4"/>
  <c r="A124" i="4"/>
  <c r="E776" i="4"/>
  <c r="N775" i="4"/>
  <c r="N1145" i="4"/>
  <c r="A1145" i="4"/>
  <c r="L1145" i="4"/>
  <c r="K1145" i="4"/>
  <c r="E1146" i="4" s="1"/>
  <c r="I1145" i="4"/>
  <c r="C1145" i="4"/>
  <c r="D1145" i="4" s="1"/>
  <c r="H1145" i="4" s="1"/>
  <c r="B1145" i="4"/>
  <c r="E436" i="4"/>
  <c r="N435" i="4"/>
  <c r="G125" i="4" l="1"/>
  <c r="F125" i="4"/>
  <c r="D125" i="4"/>
  <c r="H125" i="4"/>
  <c r="K125" i="4"/>
  <c r="E126" i="4" s="1"/>
  <c r="J125" i="4"/>
  <c r="I125" i="4"/>
  <c r="O125" i="4"/>
  <c r="N125" i="4"/>
  <c r="C125" i="4"/>
  <c r="B125" i="4"/>
  <c r="A125" i="4"/>
  <c r="M125" i="4"/>
  <c r="L125" i="4"/>
  <c r="F1145" i="4"/>
  <c r="G1145" i="4" s="1"/>
  <c r="M1146" i="4"/>
  <c r="A1146" i="4"/>
  <c r="B1146" i="4"/>
  <c r="C1146" i="4"/>
  <c r="D1146" i="4" s="1"/>
  <c r="H1146" i="4" s="1"/>
  <c r="C436" i="4"/>
  <c r="D436" i="4" s="1"/>
  <c r="H436" i="4" s="1"/>
  <c r="B436" i="4"/>
  <c r="A436" i="4"/>
  <c r="M436" i="4"/>
  <c r="B776" i="4"/>
  <c r="M776" i="4"/>
  <c r="A776" i="4"/>
  <c r="C776" i="4"/>
  <c r="D776" i="4" s="1"/>
  <c r="H776" i="4" s="1"/>
  <c r="B126" i="4" l="1"/>
  <c r="A126" i="4"/>
  <c r="O126" i="4"/>
  <c r="F126" i="4"/>
  <c r="J126" i="4"/>
  <c r="I126" i="4"/>
  <c r="D126" i="4"/>
  <c r="C126" i="4"/>
  <c r="N126" i="4"/>
  <c r="G126" i="4"/>
  <c r="M126" i="4"/>
  <c r="L126" i="4"/>
  <c r="K126" i="4"/>
  <c r="E127" i="4" s="1"/>
  <c r="H126" i="4"/>
  <c r="F776" i="4"/>
  <c r="F436" i="4"/>
  <c r="G436" i="4" s="1"/>
  <c r="M1145" i="4"/>
  <c r="O1145" i="4"/>
  <c r="J1145" i="4"/>
  <c r="A127" i="4" l="1"/>
  <c r="L127" i="4"/>
  <c r="O127" i="4"/>
  <c r="M127" i="4"/>
  <c r="I127" i="4"/>
  <c r="G127" i="4"/>
  <c r="J127" i="4"/>
  <c r="F127" i="4"/>
  <c r="C127" i="4"/>
  <c r="B127" i="4"/>
  <c r="K127" i="4"/>
  <c r="E128" i="4" s="1"/>
  <c r="N127" i="4"/>
  <c r="H127" i="4"/>
  <c r="D127" i="4"/>
  <c r="F1146" i="4"/>
  <c r="I436" i="4"/>
  <c r="K436" i="4" s="1"/>
  <c r="O436" i="4"/>
  <c r="L436" i="4"/>
  <c r="J436" i="4"/>
  <c r="G776" i="4"/>
  <c r="I776" i="4" s="1"/>
  <c r="K776" i="4" s="1"/>
  <c r="L128" i="4" l="1"/>
  <c r="K128" i="4"/>
  <c r="E129" i="4" s="1"/>
  <c r="J128" i="4"/>
  <c r="I128" i="4"/>
  <c r="C128" i="4"/>
  <c r="O128" i="4"/>
  <c r="M128" i="4"/>
  <c r="G128" i="4"/>
  <c r="D128" i="4"/>
  <c r="B128" i="4"/>
  <c r="A128" i="4"/>
  <c r="N128" i="4"/>
  <c r="F128" i="4"/>
  <c r="H128" i="4"/>
  <c r="E777" i="4"/>
  <c r="N776" i="4"/>
  <c r="E437" i="4"/>
  <c r="N436" i="4"/>
  <c r="O776" i="4"/>
  <c r="J776" i="4"/>
  <c r="L776" i="4"/>
  <c r="G1146" i="4"/>
  <c r="L1146" i="4" s="1"/>
  <c r="I1146" i="4" s="1"/>
  <c r="K1146" i="4" s="1"/>
  <c r="D129" i="4" l="1"/>
  <c r="C129" i="4"/>
  <c r="A129" i="4"/>
  <c r="F129" i="4"/>
  <c r="M129" i="4"/>
  <c r="L129" i="4"/>
  <c r="H129" i="4"/>
  <c r="O129" i="4"/>
  <c r="N129" i="4"/>
  <c r="B129" i="4"/>
  <c r="G129" i="4"/>
  <c r="J129" i="4"/>
  <c r="K129" i="4"/>
  <c r="E130" i="4" s="1"/>
  <c r="I129" i="4"/>
  <c r="E1147" i="4"/>
  <c r="N1146" i="4"/>
  <c r="O1146" i="4"/>
  <c r="J1146" i="4"/>
  <c r="C437" i="4"/>
  <c r="D437" i="4" s="1"/>
  <c r="H437" i="4" s="1"/>
  <c r="B437" i="4"/>
  <c r="A437" i="4"/>
  <c r="M437" i="4"/>
  <c r="A777" i="4"/>
  <c r="M777" i="4"/>
  <c r="C777" i="4"/>
  <c r="D777" i="4" s="1"/>
  <c r="H777" i="4" s="1"/>
  <c r="B777" i="4"/>
  <c r="A130" i="4" l="1"/>
  <c r="G130" i="4"/>
  <c r="M130" i="4"/>
  <c r="L130" i="4"/>
  <c r="I130" i="4"/>
  <c r="H130" i="4"/>
  <c r="C130" i="4"/>
  <c r="F130" i="4"/>
  <c r="D130" i="4"/>
  <c r="O130" i="4"/>
  <c r="N130" i="4"/>
  <c r="K130" i="4"/>
  <c r="E131" i="4" s="1"/>
  <c r="J130" i="4"/>
  <c r="B130" i="4"/>
  <c r="F777" i="4"/>
  <c r="G777" i="4"/>
  <c r="F437" i="4"/>
  <c r="G437" i="4" s="1"/>
  <c r="L1147" i="4"/>
  <c r="A1147" i="4"/>
  <c r="N1147" i="4"/>
  <c r="C1147" i="4"/>
  <c r="D1147" i="4" s="1"/>
  <c r="H1147" i="4" s="1"/>
  <c r="B1147" i="4"/>
  <c r="K1147" i="4"/>
  <c r="E1148" i="4" s="1"/>
  <c r="I1147" i="4"/>
  <c r="F1147" i="4" l="1"/>
  <c r="L131" i="4"/>
  <c r="J131" i="4"/>
  <c r="H131" i="4"/>
  <c r="K131" i="4"/>
  <c r="E132" i="4" s="1"/>
  <c r="F131" i="4"/>
  <c r="I131" i="4"/>
  <c r="G131" i="4"/>
  <c r="B131" i="4"/>
  <c r="D131" i="4"/>
  <c r="C131" i="4"/>
  <c r="A131" i="4"/>
  <c r="O131" i="4"/>
  <c r="M131" i="4"/>
  <c r="N131" i="4"/>
  <c r="A1148" i="4"/>
  <c r="M1148" i="4"/>
  <c r="C1148" i="4"/>
  <c r="D1148" i="4" s="1"/>
  <c r="H1148" i="4" s="1"/>
  <c r="B1148" i="4"/>
  <c r="I437" i="4"/>
  <c r="K437" i="4" s="1"/>
  <c r="O437" i="4"/>
  <c r="J437" i="4"/>
  <c r="L437" i="4"/>
  <c r="L777" i="4"/>
  <c r="J777" i="4"/>
  <c r="I777" i="4"/>
  <c r="K777" i="4" s="1"/>
  <c r="O777" i="4"/>
  <c r="K132" i="4" l="1"/>
  <c r="E133" i="4" s="1"/>
  <c r="I132" i="4"/>
  <c r="O132" i="4"/>
  <c r="L132" i="4"/>
  <c r="J132" i="4"/>
  <c r="G132" i="4"/>
  <c r="D132" i="4"/>
  <c r="C132" i="4"/>
  <c r="F132" i="4"/>
  <c r="M132" i="4"/>
  <c r="B132" i="4"/>
  <c r="A132" i="4"/>
  <c r="N132" i="4"/>
  <c r="H132" i="4"/>
  <c r="G1147" i="4"/>
  <c r="J1147" i="4" s="1"/>
  <c r="E778" i="4"/>
  <c r="N777" i="4"/>
  <c r="E438" i="4"/>
  <c r="N437" i="4"/>
  <c r="O1147" i="4" l="1"/>
  <c r="J133" i="4"/>
  <c r="L133" i="4"/>
  <c r="K133" i="4"/>
  <c r="E134" i="4" s="1"/>
  <c r="M133" i="4"/>
  <c r="C133" i="4"/>
  <c r="B133" i="4"/>
  <c r="O133" i="4"/>
  <c r="I133" i="4"/>
  <c r="A133" i="4"/>
  <c r="H133" i="4"/>
  <c r="G133" i="4"/>
  <c r="D133" i="4"/>
  <c r="F133" i="4"/>
  <c r="N133" i="4"/>
  <c r="M1147" i="4"/>
  <c r="C438" i="4"/>
  <c r="D438" i="4" s="1"/>
  <c r="H438" i="4" s="1"/>
  <c r="B438" i="4"/>
  <c r="A438" i="4"/>
  <c r="M438" i="4"/>
  <c r="M778" i="4"/>
  <c r="A778" i="4"/>
  <c r="B778" i="4"/>
  <c r="C778" i="4"/>
  <c r="D778" i="4" s="1"/>
  <c r="H778" i="4" s="1"/>
  <c r="D134" i="4" l="1"/>
  <c r="C134" i="4"/>
  <c r="L134" i="4"/>
  <c r="K134" i="4"/>
  <c r="E135" i="4" s="1"/>
  <c r="N134" i="4"/>
  <c r="I134" i="4"/>
  <c r="H134" i="4"/>
  <c r="M134" i="4"/>
  <c r="O134" i="4"/>
  <c r="B134" i="4"/>
  <c r="J134" i="4"/>
  <c r="A134" i="4"/>
  <c r="G134" i="4"/>
  <c r="F134" i="4"/>
  <c r="F1148" i="4"/>
  <c r="F778" i="4"/>
  <c r="G778" i="4" s="1"/>
  <c r="F438" i="4"/>
  <c r="G1148" i="4" l="1"/>
  <c r="J1148" i="4" s="1"/>
  <c r="N135" i="4"/>
  <c r="M135" i="4"/>
  <c r="L135" i="4"/>
  <c r="F135" i="4"/>
  <c r="O135" i="4"/>
  <c r="A135" i="4"/>
  <c r="J135" i="4"/>
  <c r="I135" i="4"/>
  <c r="D135" i="4"/>
  <c r="C135" i="4"/>
  <c r="B135" i="4"/>
  <c r="K135" i="4"/>
  <c r="E136" i="4" s="1"/>
  <c r="H135" i="4"/>
  <c r="G135" i="4"/>
  <c r="L1148" i="4"/>
  <c r="I1148" i="4" s="1"/>
  <c r="K1148" i="4" s="1"/>
  <c r="G438" i="4"/>
  <c r="I438" i="4" s="1"/>
  <c r="K438" i="4" s="1"/>
  <c r="O778" i="4"/>
  <c r="L778" i="4"/>
  <c r="J778" i="4"/>
  <c r="I778" i="4"/>
  <c r="K778" i="4" s="1"/>
  <c r="O1148" i="4" l="1"/>
  <c r="E1149" i="4"/>
  <c r="N1148" i="4"/>
  <c r="I136" i="4"/>
  <c r="H136" i="4"/>
  <c r="G136" i="4"/>
  <c r="F136" i="4"/>
  <c r="A136" i="4"/>
  <c r="B136" i="4"/>
  <c r="D136" i="4"/>
  <c r="C136" i="4"/>
  <c r="N136" i="4"/>
  <c r="M136" i="4"/>
  <c r="L136" i="4"/>
  <c r="K136" i="4"/>
  <c r="E137" i="4" s="1"/>
  <c r="J136" i="4"/>
  <c r="O136" i="4"/>
  <c r="E439" i="4"/>
  <c r="N438" i="4"/>
  <c r="E779" i="4"/>
  <c r="N778" i="4"/>
  <c r="J438" i="4"/>
  <c r="L438" i="4"/>
  <c r="O438" i="4"/>
  <c r="N1149" i="4" l="1"/>
  <c r="L1149" i="4"/>
  <c r="C1149" i="4"/>
  <c r="A1149" i="4"/>
  <c r="K1149" i="4"/>
  <c r="E1150" i="4" s="1"/>
  <c r="I1149" i="4"/>
  <c r="B1149" i="4"/>
  <c r="D1149" i="4"/>
  <c r="H1149" i="4" s="1"/>
  <c r="H137" i="4"/>
  <c r="D137" i="4"/>
  <c r="G137" i="4"/>
  <c r="F137" i="4"/>
  <c r="C137" i="4"/>
  <c r="M137" i="4"/>
  <c r="O137" i="4"/>
  <c r="I137" i="4"/>
  <c r="K137" i="4"/>
  <c r="E138" i="4" s="1"/>
  <c r="B137" i="4"/>
  <c r="J137" i="4"/>
  <c r="L137" i="4"/>
  <c r="A137" i="4"/>
  <c r="N137" i="4"/>
  <c r="M779" i="4"/>
  <c r="C779" i="4"/>
  <c r="B779" i="4"/>
  <c r="D779" i="4"/>
  <c r="A779" i="4"/>
  <c r="H779" i="4"/>
  <c r="F779" i="4" s="1"/>
  <c r="B439" i="4"/>
  <c r="A439" i="4"/>
  <c r="M439" i="4"/>
  <c r="C439" i="4"/>
  <c r="D439" i="4" s="1"/>
  <c r="H439" i="4" s="1"/>
  <c r="F1149" i="4" l="1"/>
  <c r="G1149" i="4" s="1"/>
  <c r="M1150" i="4"/>
  <c r="C1150" i="4"/>
  <c r="D1150" i="4"/>
  <c r="H1150" i="4" s="1"/>
  <c r="B1150" i="4"/>
  <c r="A1150" i="4"/>
  <c r="I138" i="4"/>
  <c r="K138" i="4"/>
  <c r="E139" i="4" s="1"/>
  <c r="O138" i="4"/>
  <c r="H138" i="4"/>
  <c r="B138" i="4"/>
  <c r="N138" i="4"/>
  <c r="G138" i="4"/>
  <c r="D138" i="4"/>
  <c r="C138" i="4"/>
  <c r="A138" i="4"/>
  <c r="M138" i="4"/>
  <c r="F138" i="4"/>
  <c r="L138" i="4"/>
  <c r="J138" i="4"/>
  <c r="F439" i="4"/>
  <c r="G439" i="4" s="1"/>
  <c r="G779" i="4"/>
  <c r="J779" i="4" s="1"/>
  <c r="B139" i="4" l="1"/>
  <c r="A139" i="4"/>
  <c r="O139" i="4"/>
  <c r="N139" i="4"/>
  <c r="G139" i="4"/>
  <c r="J139" i="4"/>
  <c r="M139" i="4"/>
  <c r="L139" i="4"/>
  <c r="I139" i="4"/>
  <c r="D139" i="4"/>
  <c r="H139" i="4"/>
  <c r="C139" i="4"/>
  <c r="K139" i="4"/>
  <c r="E140" i="4" s="1"/>
  <c r="F139" i="4"/>
  <c r="J1149" i="4"/>
  <c r="M1149" i="4"/>
  <c r="O1149" i="4"/>
  <c r="I779" i="4"/>
  <c r="K779" i="4" s="1"/>
  <c r="O779" i="4"/>
  <c r="L779" i="4"/>
  <c r="O439" i="4"/>
  <c r="I439" i="4"/>
  <c r="K439" i="4" s="1"/>
  <c r="J439" i="4"/>
  <c r="L439" i="4"/>
  <c r="B140" i="4" l="1"/>
  <c r="A140" i="4"/>
  <c r="N140" i="4"/>
  <c r="L140" i="4"/>
  <c r="J140" i="4"/>
  <c r="H140" i="4"/>
  <c r="K140" i="4"/>
  <c r="E141" i="4" s="1"/>
  <c r="D140" i="4"/>
  <c r="M140" i="4"/>
  <c r="O140" i="4"/>
  <c r="C140" i="4"/>
  <c r="I140" i="4"/>
  <c r="G140" i="4"/>
  <c r="F140" i="4"/>
  <c r="F1150" i="4"/>
  <c r="E440" i="4"/>
  <c r="N439" i="4"/>
  <c r="E780" i="4"/>
  <c r="N779" i="4"/>
  <c r="K141" i="4" l="1"/>
  <c r="E142" i="4" s="1"/>
  <c r="D141" i="4"/>
  <c r="C141" i="4"/>
  <c r="N141" i="4"/>
  <c r="J141" i="4"/>
  <c r="B141" i="4"/>
  <c r="O141" i="4"/>
  <c r="A141" i="4"/>
  <c r="I141" i="4"/>
  <c r="H141" i="4"/>
  <c r="G141" i="4"/>
  <c r="F141" i="4"/>
  <c r="L141" i="4"/>
  <c r="M141" i="4"/>
  <c r="G1150" i="4"/>
  <c r="J1150" i="4" s="1"/>
  <c r="A780" i="4"/>
  <c r="C780" i="4"/>
  <c r="D780" i="4" s="1"/>
  <c r="H780" i="4" s="1"/>
  <c r="M780" i="4"/>
  <c r="B780" i="4"/>
  <c r="A440" i="4"/>
  <c r="M440" i="4"/>
  <c r="B440" i="4"/>
  <c r="C440" i="4"/>
  <c r="D440" i="4" s="1"/>
  <c r="H440" i="4" s="1"/>
  <c r="L1150" i="4" l="1"/>
  <c r="I1150" i="4" s="1"/>
  <c r="K1150" i="4" s="1"/>
  <c r="O1150" i="4"/>
  <c r="A142" i="4"/>
  <c r="C142" i="4"/>
  <c r="D142" i="4"/>
  <c r="H142" i="4"/>
  <c r="G142" i="4"/>
  <c r="L142" i="4"/>
  <c r="J142" i="4"/>
  <c r="B142" i="4"/>
  <c r="O142" i="4"/>
  <c r="M142" i="4"/>
  <c r="N142" i="4"/>
  <c r="I142" i="4"/>
  <c r="F142" i="4"/>
  <c r="K142" i="4"/>
  <c r="E143" i="4" s="1"/>
  <c r="F440" i="4"/>
  <c r="G440" i="4" s="1"/>
  <c r="F780" i="4"/>
  <c r="F143" i="4" l="1"/>
  <c r="D143" i="4"/>
  <c r="B143" i="4"/>
  <c r="L143" i="4"/>
  <c r="O143" i="4"/>
  <c r="N143" i="4"/>
  <c r="K143" i="4"/>
  <c r="E144" i="4" s="1"/>
  <c r="J143" i="4"/>
  <c r="C143" i="4"/>
  <c r="M143" i="4"/>
  <c r="H143" i="4"/>
  <c r="I143" i="4"/>
  <c r="G143" i="4"/>
  <c r="A143" i="4"/>
  <c r="E1151" i="4"/>
  <c r="N1150" i="4"/>
  <c r="G780" i="4"/>
  <c r="L780" i="4" s="1"/>
  <c r="O440" i="4"/>
  <c r="J440" i="4"/>
  <c r="L440" i="4"/>
  <c r="I440" i="4"/>
  <c r="K440" i="4" s="1"/>
  <c r="C144" i="4" l="1"/>
  <c r="I144" i="4"/>
  <c r="H144" i="4"/>
  <c r="G144" i="4"/>
  <c r="J144" i="4"/>
  <c r="N144" i="4"/>
  <c r="L144" i="4"/>
  <c r="F144" i="4"/>
  <c r="D144" i="4"/>
  <c r="B144" i="4"/>
  <c r="K144" i="4"/>
  <c r="E145" i="4" s="1"/>
  <c r="M144" i="4"/>
  <c r="A144" i="4"/>
  <c r="O144" i="4"/>
  <c r="K1151" i="4"/>
  <c r="E1152" i="4" s="1"/>
  <c r="I1151" i="4"/>
  <c r="C1151" i="4"/>
  <c r="D1151" i="4" s="1"/>
  <c r="H1151" i="4" s="1"/>
  <c r="N1151" i="4"/>
  <c r="B1151" i="4"/>
  <c r="A1151" i="4"/>
  <c r="L1151" i="4"/>
  <c r="E441" i="4"/>
  <c r="N440" i="4"/>
  <c r="O780" i="4"/>
  <c r="I780" i="4"/>
  <c r="K780" i="4" s="1"/>
  <c r="J780" i="4"/>
  <c r="F1151" i="4" l="1"/>
  <c r="G145" i="4"/>
  <c r="F145" i="4"/>
  <c r="A145" i="4"/>
  <c r="N145" i="4"/>
  <c r="O145" i="4"/>
  <c r="D145" i="4"/>
  <c r="C145" i="4"/>
  <c r="K145" i="4"/>
  <c r="E146" i="4" s="1"/>
  <c r="H145" i="4"/>
  <c r="M145" i="4"/>
  <c r="B145" i="4"/>
  <c r="L145" i="4"/>
  <c r="J145" i="4"/>
  <c r="I145" i="4"/>
  <c r="C1152" i="4"/>
  <c r="D1152" i="4" s="1"/>
  <c r="H1152" i="4" s="1"/>
  <c r="A1152" i="4"/>
  <c r="M1152" i="4"/>
  <c r="B1152" i="4"/>
  <c r="E781" i="4"/>
  <c r="N780" i="4"/>
  <c r="M441" i="4"/>
  <c r="C441" i="4"/>
  <c r="D441" i="4" s="1"/>
  <c r="H441" i="4" s="1"/>
  <c r="A441" i="4"/>
  <c r="B441" i="4"/>
  <c r="H146" i="4" l="1"/>
  <c r="G146" i="4"/>
  <c r="F146" i="4"/>
  <c r="D146" i="4"/>
  <c r="C146" i="4"/>
  <c r="B146" i="4"/>
  <c r="O146" i="4"/>
  <c r="A146" i="4"/>
  <c r="N146" i="4"/>
  <c r="M146" i="4"/>
  <c r="J146" i="4"/>
  <c r="I146" i="4"/>
  <c r="L146" i="4"/>
  <c r="K146" i="4"/>
  <c r="E147" i="4" s="1"/>
  <c r="G1151" i="4"/>
  <c r="J1151" i="4" s="1"/>
  <c r="F441" i="4"/>
  <c r="G441" i="4" s="1"/>
  <c r="B781" i="4"/>
  <c r="M781" i="4"/>
  <c r="C781" i="4"/>
  <c r="D781" i="4" s="1"/>
  <c r="H781" i="4" s="1"/>
  <c r="A781" i="4"/>
  <c r="O1151" i="4" l="1"/>
  <c r="M1151" i="4"/>
  <c r="K147" i="4"/>
  <c r="E148" i="4" s="1"/>
  <c r="J147" i="4"/>
  <c r="G147" i="4"/>
  <c r="D147" i="4"/>
  <c r="M147" i="4"/>
  <c r="L147" i="4"/>
  <c r="I147" i="4"/>
  <c r="O147" i="4"/>
  <c r="A147" i="4"/>
  <c r="N147" i="4"/>
  <c r="F147" i="4"/>
  <c r="H147" i="4"/>
  <c r="C147" i="4"/>
  <c r="B147" i="4"/>
  <c r="F781" i="4"/>
  <c r="L441" i="4"/>
  <c r="I441" i="4"/>
  <c r="K441" i="4" s="1"/>
  <c r="O441" i="4"/>
  <c r="J441" i="4"/>
  <c r="L148" i="4" l="1"/>
  <c r="I148" i="4"/>
  <c r="K148" i="4"/>
  <c r="E149" i="4" s="1"/>
  <c r="J148" i="4"/>
  <c r="F148" i="4"/>
  <c r="D148" i="4"/>
  <c r="H148" i="4"/>
  <c r="B148" i="4"/>
  <c r="O148" i="4"/>
  <c r="A148" i="4"/>
  <c r="G148" i="4"/>
  <c r="N148" i="4"/>
  <c r="M148" i="4"/>
  <c r="C148" i="4"/>
  <c r="F1152" i="4"/>
  <c r="G1152" i="4" s="1"/>
  <c r="E442" i="4"/>
  <c r="N441" i="4"/>
  <c r="G781" i="4"/>
  <c r="O781" i="4" s="1"/>
  <c r="I149" i="4" l="1"/>
  <c r="H149" i="4"/>
  <c r="D149" i="4"/>
  <c r="C149" i="4"/>
  <c r="B149" i="4"/>
  <c r="N149" i="4"/>
  <c r="M149" i="4"/>
  <c r="J149" i="4"/>
  <c r="G149" i="4"/>
  <c r="K149" i="4"/>
  <c r="E150" i="4" s="1"/>
  <c r="O149" i="4"/>
  <c r="A149" i="4"/>
  <c r="L149" i="4"/>
  <c r="F149" i="4"/>
  <c r="J1152" i="4"/>
  <c r="O1152" i="4"/>
  <c r="L1152" i="4"/>
  <c r="I1152" i="4" s="1"/>
  <c r="K1152" i="4" s="1"/>
  <c r="L781" i="4"/>
  <c r="J781" i="4"/>
  <c r="I781" i="4"/>
  <c r="K781" i="4" s="1"/>
  <c r="M442" i="4"/>
  <c r="C442" i="4"/>
  <c r="D442" i="4" s="1"/>
  <c r="H442" i="4" s="1"/>
  <c r="B442" i="4"/>
  <c r="A442" i="4"/>
  <c r="D150" i="4" l="1"/>
  <c r="A150" i="4"/>
  <c r="N150" i="4"/>
  <c r="L150" i="4"/>
  <c r="K150" i="4"/>
  <c r="E151" i="4" s="1"/>
  <c r="O150" i="4"/>
  <c r="I150" i="4"/>
  <c r="G150" i="4"/>
  <c r="B150" i="4"/>
  <c r="F150" i="4"/>
  <c r="C150" i="4"/>
  <c r="M150" i="4"/>
  <c r="J150" i="4"/>
  <c r="H150" i="4"/>
  <c r="E1153" i="4"/>
  <c r="N1152" i="4"/>
  <c r="F442" i="4"/>
  <c r="E782" i="4"/>
  <c r="N781" i="4"/>
  <c r="B1153" i="4" l="1"/>
  <c r="C1153" i="4"/>
  <c r="D1153" i="4" s="1"/>
  <c r="H1153" i="4" s="1"/>
  <c r="N1153" i="4"/>
  <c r="L1153" i="4"/>
  <c r="A1153" i="4"/>
  <c r="K1153" i="4"/>
  <c r="E1154" i="4" s="1"/>
  <c r="I1153" i="4"/>
  <c r="N151" i="4"/>
  <c r="I151" i="4"/>
  <c r="H151" i="4"/>
  <c r="G151" i="4"/>
  <c r="D151" i="4"/>
  <c r="K151" i="4"/>
  <c r="E152" i="4" s="1"/>
  <c r="J151" i="4"/>
  <c r="L151" i="4"/>
  <c r="B151" i="4"/>
  <c r="F151" i="4"/>
  <c r="C151" i="4"/>
  <c r="M151" i="4"/>
  <c r="A151" i="4"/>
  <c r="O151" i="4"/>
  <c r="C782" i="4"/>
  <c r="D782" i="4" s="1"/>
  <c r="H782" i="4" s="1"/>
  <c r="A782" i="4"/>
  <c r="M782" i="4"/>
  <c r="B782" i="4"/>
  <c r="G442" i="4"/>
  <c r="O442" i="4" s="1"/>
  <c r="F1153" i="4" l="1"/>
  <c r="M1154" i="4"/>
  <c r="A1154" i="4"/>
  <c r="B1154" i="4"/>
  <c r="C1154" i="4"/>
  <c r="D1154" i="4" s="1"/>
  <c r="H1154" i="4" s="1"/>
  <c r="G152" i="4"/>
  <c r="H152" i="4"/>
  <c r="K152" i="4"/>
  <c r="E153" i="4" s="1"/>
  <c r="M152" i="4"/>
  <c r="F152" i="4"/>
  <c r="L152" i="4"/>
  <c r="J152" i="4"/>
  <c r="D152" i="4"/>
  <c r="B152" i="4"/>
  <c r="N152" i="4"/>
  <c r="I152" i="4"/>
  <c r="C152" i="4"/>
  <c r="A152" i="4"/>
  <c r="O152" i="4"/>
  <c r="F782" i="4"/>
  <c r="J442" i="4"/>
  <c r="I442" i="4"/>
  <c r="K442" i="4" s="1"/>
  <c r="L442" i="4"/>
  <c r="H153" i="4" l="1"/>
  <c r="G153" i="4"/>
  <c r="O153" i="4"/>
  <c r="J153" i="4"/>
  <c r="L153" i="4"/>
  <c r="D153" i="4"/>
  <c r="B153" i="4"/>
  <c r="A153" i="4"/>
  <c r="N153" i="4"/>
  <c r="M153" i="4"/>
  <c r="I153" i="4"/>
  <c r="F153" i="4"/>
  <c r="C153" i="4"/>
  <c r="K153" i="4"/>
  <c r="E154" i="4" s="1"/>
  <c r="G1153" i="4"/>
  <c r="O1153" i="4" s="1"/>
  <c r="E443" i="4"/>
  <c r="N442" i="4"/>
  <c r="G782" i="4"/>
  <c r="L782" i="4" s="1"/>
  <c r="M1153" i="4" l="1"/>
  <c r="J1153" i="4"/>
  <c r="N154" i="4"/>
  <c r="O154" i="4"/>
  <c r="M154" i="4"/>
  <c r="L154" i="4"/>
  <c r="K154" i="4"/>
  <c r="E155" i="4" s="1"/>
  <c r="C154" i="4"/>
  <c r="B154" i="4"/>
  <c r="A154" i="4"/>
  <c r="J154" i="4"/>
  <c r="I154" i="4"/>
  <c r="H154" i="4"/>
  <c r="G154" i="4"/>
  <c r="F154" i="4"/>
  <c r="D154" i="4"/>
  <c r="C443" i="4"/>
  <c r="D443" i="4" s="1"/>
  <c r="H443" i="4" s="1"/>
  <c r="B443" i="4"/>
  <c r="A443" i="4"/>
  <c r="M443" i="4"/>
  <c r="O782" i="4"/>
  <c r="I782" i="4"/>
  <c r="K782" i="4" s="1"/>
  <c r="J782" i="4"/>
  <c r="C155" i="4" l="1"/>
  <c r="H155" i="4"/>
  <c r="O155" i="4"/>
  <c r="J155" i="4"/>
  <c r="A155" i="4"/>
  <c r="G155" i="4"/>
  <c r="M155" i="4"/>
  <c r="D155" i="4"/>
  <c r="I155" i="4"/>
  <c r="K155" i="4"/>
  <c r="E156" i="4" s="1"/>
  <c r="F155" i="4"/>
  <c r="N155" i="4"/>
  <c r="L155" i="4"/>
  <c r="B155" i="4"/>
  <c r="F1154" i="4"/>
  <c r="G1154" i="4"/>
  <c r="F443" i="4"/>
  <c r="E783" i="4"/>
  <c r="N782" i="4"/>
  <c r="H156" i="4" l="1"/>
  <c r="F156" i="4"/>
  <c r="A156" i="4"/>
  <c r="O156" i="4"/>
  <c r="L156" i="4"/>
  <c r="I156" i="4"/>
  <c r="D156" i="4"/>
  <c r="J156" i="4"/>
  <c r="G156" i="4"/>
  <c r="C156" i="4"/>
  <c r="B156" i="4"/>
  <c r="M156" i="4"/>
  <c r="N156" i="4"/>
  <c r="K156" i="4"/>
  <c r="E157" i="4" s="1"/>
  <c r="O1154" i="4"/>
  <c r="J1154" i="4"/>
  <c r="L1154" i="4"/>
  <c r="I1154" i="4" s="1"/>
  <c r="K1154" i="4" s="1"/>
  <c r="M783" i="4"/>
  <c r="C783" i="4"/>
  <c r="D783" i="4" s="1"/>
  <c r="H783" i="4" s="1"/>
  <c r="B783" i="4"/>
  <c r="A783" i="4"/>
  <c r="G443" i="4"/>
  <c r="L443" i="4" s="1"/>
  <c r="G157" i="4" l="1"/>
  <c r="J157" i="4"/>
  <c r="B157" i="4"/>
  <c r="A157" i="4"/>
  <c r="F157" i="4"/>
  <c r="M157" i="4"/>
  <c r="K157" i="4"/>
  <c r="E158" i="4" s="1"/>
  <c r="D157" i="4"/>
  <c r="I157" i="4"/>
  <c r="H157" i="4"/>
  <c r="C157" i="4"/>
  <c r="O157" i="4"/>
  <c r="L157" i="4"/>
  <c r="N157" i="4"/>
  <c r="E1155" i="4"/>
  <c r="N1154" i="4"/>
  <c r="F783" i="4"/>
  <c r="G783" i="4" s="1"/>
  <c r="O443" i="4"/>
  <c r="J443" i="4"/>
  <c r="I443" i="4"/>
  <c r="K443" i="4" s="1"/>
  <c r="I158" i="4" l="1"/>
  <c r="H158" i="4"/>
  <c r="G158" i="4"/>
  <c r="N158" i="4"/>
  <c r="F158" i="4"/>
  <c r="D158" i="4"/>
  <c r="C158" i="4"/>
  <c r="L158" i="4"/>
  <c r="B158" i="4"/>
  <c r="O158" i="4"/>
  <c r="K158" i="4"/>
  <c r="E159" i="4" s="1"/>
  <c r="J158" i="4"/>
  <c r="A158" i="4"/>
  <c r="M158" i="4"/>
  <c r="I1155" i="4"/>
  <c r="K1155" i="4"/>
  <c r="E1156" i="4" s="1"/>
  <c r="L1155" i="4"/>
  <c r="C1155" i="4"/>
  <c r="D1155" i="4" s="1"/>
  <c r="H1155" i="4" s="1"/>
  <c r="B1155" i="4"/>
  <c r="N1155" i="4"/>
  <c r="A1155" i="4"/>
  <c r="E444" i="4"/>
  <c r="N443" i="4"/>
  <c r="I783" i="4"/>
  <c r="K783" i="4" s="1"/>
  <c r="O783" i="4"/>
  <c r="L783" i="4"/>
  <c r="J783" i="4"/>
  <c r="F1155" i="4" l="1"/>
  <c r="G1155" i="4" s="1"/>
  <c r="A159" i="4"/>
  <c r="N159" i="4"/>
  <c r="H159" i="4"/>
  <c r="D159" i="4"/>
  <c r="M159" i="4"/>
  <c r="J159" i="4"/>
  <c r="I159" i="4"/>
  <c r="G159" i="4"/>
  <c r="C159" i="4"/>
  <c r="O159" i="4"/>
  <c r="L159" i="4"/>
  <c r="K159" i="4"/>
  <c r="E160" i="4" s="1"/>
  <c r="B159" i="4"/>
  <c r="F159" i="4"/>
  <c r="M1156" i="4"/>
  <c r="B1156" i="4"/>
  <c r="C1156" i="4"/>
  <c r="D1156" i="4" s="1"/>
  <c r="H1156" i="4" s="1"/>
  <c r="A1156" i="4"/>
  <c r="E784" i="4"/>
  <c r="N783" i="4"/>
  <c r="M444" i="4"/>
  <c r="C444" i="4"/>
  <c r="D444" i="4" s="1"/>
  <c r="H444" i="4" s="1"/>
  <c r="B444" i="4"/>
  <c r="A444" i="4"/>
  <c r="F160" i="4" l="1"/>
  <c r="D160" i="4"/>
  <c r="B160" i="4"/>
  <c r="K160" i="4"/>
  <c r="E161" i="4" s="1"/>
  <c r="J160" i="4"/>
  <c r="I160" i="4"/>
  <c r="C160" i="4"/>
  <c r="O160" i="4"/>
  <c r="N160" i="4"/>
  <c r="M160" i="4"/>
  <c r="H160" i="4"/>
  <c r="A160" i="4"/>
  <c r="L160" i="4"/>
  <c r="G160" i="4"/>
  <c r="J1155" i="4"/>
  <c r="O1155" i="4"/>
  <c r="M1155" i="4"/>
  <c r="F444" i="4"/>
  <c r="G444" i="4" s="1"/>
  <c r="B784" i="4"/>
  <c r="A784" i="4"/>
  <c r="M784" i="4"/>
  <c r="C784" i="4"/>
  <c r="D784" i="4" s="1"/>
  <c r="H784" i="4" s="1"/>
  <c r="C161" i="4" l="1"/>
  <c r="N161" i="4"/>
  <c r="H161" i="4"/>
  <c r="G161" i="4"/>
  <c r="B161" i="4"/>
  <c r="D161" i="4"/>
  <c r="O161" i="4"/>
  <c r="M161" i="4"/>
  <c r="L161" i="4"/>
  <c r="I161" i="4"/>
  <c r="A161" i="4"/>
  <c r="F161" i="4"/>
  <c r="J161" i="4"/>
  <c r="K161" i="4"/>
  <c r="E162" i="4" s="1"/>
  <c r="F1156" i="4"/>
  <c r="G1156" i="4" s="1"/>
  <c r="F784" i="4"/>
  <c r="J444" i="4"/>
  <c r="L444" i="4"/>
  <c r="I444" i="4"/>
  <c r="K444" i="4" s="1"/>
  <c r="O444" i="4"/>
  <c r="J1156" i="4" l="1"/>
  <c r="O1156" i="4"/>
  <c r="J162" i="4"/>
  <c r="I162" i="4"/>
  <c r="H162" i="4"/>
  <c r="G162" i="4"/>
  <c r="F162" i="4"/>
  <c r="N162" i="4"/>
  <c r="M162" i="4"/>
  <c r="K162" i="4"/>
  <c r="E163" i="4" s="1"/>
  <c r="O162" i="4"/>
  <c r="A162" i="4"/>
  <c r="D162" i="4"/>
  <c r="C162" i="4"/>
  <c r="L162" i="4"/>
  <c r="B162" i="4"/>
  <c r="L1156" i="4"/>
  <c r="I1156" i="4" s="1"/>
  <c r="K1156" i="4" s="1"/>
  <c r="E445" i="4"/>
  <c r="N444" i="4"/>
  <c r="G784" i="4"/>
  <c r="L784" i="4" s="1"/>
  <c r="D163" i="4" l="1"/>
  <c r="C163" i="4"/>
  <c r="L163" i="4"/>
  <c r="K163" i="4"/>
  <c r="E164" i="4" s="1"/>
  <c r="N163" i="4"/>
  <c r="J163" i="4"/>
  <c r="O163" i="4"/>
  <c r="M163" i="4"/>
  <c r="I163" i="4"/>
  <c r="H163" i="4"/>
  <c r="G163" i="4"/>
  <c r="F163" i="4"/>
  <c r="A163" i="4"/>
  <c r="B163" i="4"/>
  <c r="E1157" i="4"/>
  <c r="N1156" i="4"/>
  <c r="M445" i="4"/>
  <c r="C445" i="4"/>
  <c r="D445" i="4" s="1"/>
  <c r="H445" i="4" s="1"/>
  <c r="B445" i="4"/>
  <c r="A445" i="4"/>
  <c r="I784" i="4"/>
  <c r="K784" i="4" s="1"/>
  <c r="O784" i="4"/>
  <c r="J784" i="4"/>
  <c r="J164" i="4" l="1"/>
  <c r="I164" i="4"/>
  <c r="G164" i="4"/>
  <c r="L164" i="4"/>
  <c r="A164" i="4"/>
  <c r="H164" i="4"/>
  <c r="F164" i="4"/>
  <c r="B164" i="4"/>
  <c r="N164" i="4"/>
  <c r="M164" i="4"/>
  <c r="C164" i="4"/>
  <c r="O164" i="4"/>
  <c r="D164" i="4"/>
  <c r="K164" i="4"/>
  <c r="E165" i="4" s="1"/>
  <c r="I1157" i="4"/>
  <c r="C1157" i="4"/>
  <c r="L1157" i="4"/>
  <c r="K1157" i="4"/>
  <c r="E1158" i="4" s="1"/>
  <c r="B1157" i="4"/>
  <c r="A1157" i="4"/>
  <c r="N1157" i="4"/>
  <c r="D1157" i="4"/>
  <c r="H1157" i="4" s="1"/>
  <c r="F445" i="4"/>
  <c r="G445" i="4" s="1"/>
  <c r="E785" i="4"/>
  <c r="N784" i="4"/>
  <c r="F1157" i="4" l="1"/>
  <c r="G1157" i="4" s="1"/>
  <c r="G165" i="4"/>
  <c r="N165" i="4"/>
  <c r="M165" i="4"/>
  <c r="L165" i="4"/>
  <c r="K165" i="4"/>
  <c r="E166" i="4" s="1"/>
  <c r="F165" i="4"/>
  <c r="C165" i="4"/>
  <c r="B165" i="4"/>
  <c r="A165" i="4"/>
  <c r="O165" i="4"/>
  <c r="H165" i="4"/>
  <c r="I165" i="4"/>
  <c r="J165" i="4"/>
  <c r="D165" i="4"/>
  <c r="C1158" i="4"/>
  <c r="D1158" i="4" s="1"/>
  <c r="H1158" i="4" s="1"/>
  <c r="A1158" i="4"/>
  <c r="M1158" i="4"/>
  <c r="B1158" i="4"/>
  <c r="M785" i="4"/>
  <c r="B785" i="4"/>
  <c r="C785" i="4"/>
  <c r="D785" i="4" s="1"/>
  <c r="H785" i="4" s="1"/>
  <c r="A785" i="4"/>
  <c r="J445" i="4"/>
  <c r="I445" i="4"/>
  <c r="K445" i="4" s="1"/>
  <c r="O445" i="4"/>
  <c r="L445" i="4"/>
  <c r="F166" i="4" l="1"/>
  <c r="D166" i="4"/>
  <c r="C166" i="4"/>
  <c r="B166" i="4"/>
  <c r="N166" i="4"/>
  <c r="J166" i="4"/>
  <c r="I166" i="4"/>
  <c r="M166" i="4"/>
  <c r="H166" i="4"/>
  <c r="G166" i="4"/>
  <c r="A166" i="4"/>
  <c r="O166" i="4"/>
  <c r="L166" i="4"/>
  <c r="K166" i="4"/>
  <c r="E167" i="4" s="1"/>
  <c r="J1157" i="4"/>
  <c r="O1157" i="4"/>
  <c r="M1157" i="4"/>
  <c r="F785" i="4"/>
  <c r="E446" i="4"/>
  <c r="N445" i="4"/>
  <c r="D167" i="4" l="1"/>
  <c r="C167" i="4"/>
  <c r="B167" i="4"/>
  <c r="A167" i="4"/>
  <c r="K167" i="4"/>
  <c r="E168" i="4" s="1"/>
  <c r="H167" i="4"/>
  <c r="N167" i="4"/>
  <c r="M167" i="4"/>
  <c r="J167" i="4"/>
  <c r="F167" i="4"/>
  <c r="I167" i="4"/>
  <c r="O167" i="4"/>
  <c r="G167" i="4"/>
  <c r="L167" i="4"/>
  <c r="F1158" i="4"/>
  <c r="G1158" i="4" s="1"/>
  <c r="M446" i="4"/>
  <c r="B446" i="4"/>
  <c r="A446" i="4"/>
  <c r="C446" i="4"/>
  <c r="D446" i="4" s="1"/>
  <c r="H446" i="4" s="1"/>
  <c r="G785" i="4"/>
  <c r="O785" i="4" s="1"/>
  <c r="J168" i="4" l="1"/>
  <c r="A168" i="4"/>
  <c r="L168" i="4"/>
  <c r="F168" i="4"/>
  <c r="D168" i="4"/>
  <c r="I168" i="4"/>
  <c r="H168" i="4"/>
  <c r="G168" i="4"/>
  <c r="K168" i="4"/>
  <c r="E169" i="4" s="1"/>
  <c r="C168" i="4"/>
  <c r="O168" i="4"/>
  <c r="N168" i="4"/>
  <c r="M168" i="4"/>
  <c r="B168" i="4"/>
  <c r="O1158" i="4"/>
  <c r="J1158" i="4"/>
  <c r="L1158" i="4"/>
  <c r="I1158" i="4" s="1"/>
  <c r="K1158" i="4" s="1"/>
  <c r="F446" i="4"/>
  <c r="I785" i="4"/>
  <c r="K785" i="4" s="1"/>
  <c r="J785" i="4"/>
  <c r="L785" i="4"/>
  <c r="A169" i="4" l="1"/>
  <c r="O169" i="4"/>
  <c r="N169" i="4"/>
  <c r="K169" i="4"/>
  <c r="E170" i="4" s="1"/>
  <c r="H169" i="4"/>
  <c r="F169" i="4"/>
  <c r="M169" i="4"/>
  <c r="I169" i="4"/>
  <c r="D169" i="4"/>
  <c r="B169" i="4"/>
  <c r="J169" i="4"/>
  <c r="L169" i="4"/>
  <c r="G169" i="4"/>
  <c r="C169" i="4"/>
  <c r="E1159" i="4"/>
  <c r="N1158" i="4"/>
  <c r="E786" i="4"/>
  <c r="N785" i="4"/>
  <c r="G446" i="4"/>
  <c r="J446" i="4" s="1"/>
  <c r="C170" i="4" l="1"/>
  <c r="A170" i="4"/>
  <c r="D170" i="4"/>
  <c r="N170" i="4"/>
  <c r="M170" i="4"/>
  <c r="J170" i="4"/>
  <c r="H170" i="4"/>
  <c r="G170" i="4"/>
  <c r="F170" i="4"/>
  <c r="L170" i="4"/>
  <c r="B170" i="4"/>
  <c r="I170" i="4"/>
  <c r="O170" i="4"/>
  <c r="K170" i="4"/>
  <c r="E171" i="4" s="1"/>
  <c r="C1159" i="4"/>
  <c r="D1159" i="4"/>
  <c r="K1159" i="4"/>
  <c r="E1160" i="4" s="1"/>
  <c r="B1159" i="4"/>
  <c r="N1159" i="4"/>
  <c r="L1159" i="4"/>
  <c r="A1159" i="4"/>
  <c r="I1159" i="4"/>
  <c r="H1159" i="4"/>
  <c r="F1159" i="4" s="1"/>
  <c r="L446" i="4"/>
  <c r="I446" i="4"/>
  <c r="K446" i="4" s="1"/>
  <c r="O446" i="4"/>
  <c r="B786" i="4"/>
  <c r="A786" i="4"/>
  <c r="M786" i="4"/>
  <c r="C786" i="4"/>
  <c r="D786" i="4" s="1"/>
  <c r="H786" i="4" s="1"/>
  <c r="G1159" i="4" l="1"/>
  <c r="M1159" i="4" s="1"/>
  <c r="C171" i="4"/>
  <c r="B171" i="4"/>
  <c r="M171" i="4"/>
  <c r="J171" i="4"/>
  <c r="F171" i="4"/>
  <c r="D171" i="4"/>
  <c r="A171" i="4"/>
  <c r="L171" i="4"/>
  <c r="G171" i="4"/>
  <c r="O171" i="4"/>
  <c r="N171" i="4"/>
  <c r="K171" i="4"/>
  <c r="E172" i="4" s="1"/>
  <c r="I171" i="4"/>
  <c r="H171" i="4"/>
  <c r="C1160" i="4"/>
  <c r="D1160" i="4" s="1"/>
  <c r="H1160" i="4" s="1"/>
  <c r="A1160" i="4"/>
  <c r="M1160" i="4"/>
  <c r="B1160" i="4"/>
  <c r="F786" i="4"/>
  <c r="G786" i="4" s="1"/>
  <c r="E447" i="4"/>
  <c r="N446" i="4"/>
  <c r="F1160" i="4" l="1"/>
  <c r="J1159" i="4"/>
  <c r="O1159" i="4"/>
  <c r="K172" i="4"/>
  <c r="E173" i="4" s="1"/>
  <c r="I172" i="4"/>
  <c r="F172" i="4"/>
  <c r="M172" i="4"/>
  <c r="H172" i="4"/>
  <c r="D172" i="4"/>
  <c r="C172" i="4"/>
  <c r="N172" i="4"/>
  <c r="G172" i="4"/>
  <c r="O172" i="4"/>
  <c r="L172" i="4"/>
  <c r="J172" i="4"/>
  <c r="A172" i="4"/>
  <c r="B172" i="4"/>
  <c r="B447" i="4"/>
  <c r="A447" i="4"/>
  <c r="M447" i="4"/>
  <c r="C447" i="4"/>
  <c r="D447" i="4" s="1"/>
  <c r="H447" i="4" s="1"/>
  <c r="L786" i="4"/>
  <c r="O786" i="4"/>
  <c r="J786" i="4"/>
  <c r="I786" i="4"/>
  <c r="K786" i="4" s="1"/>
  <c r="J173" i="4" l="1"/>
  <c r="I173" i="4"/>
  <c r="H173" i="4"/>
  <c r="G173" i="4"/>
  <c r="F173" i="4"/>
  <c r="M173" i="4"/>
  <c r="N173" i="4"/>
  <c r="A173" i="4"/>
  <c r="D173" i="4"/>
  <c r="L173" i="4"/>
  <c r="O173" i="4"/>
  <c r="K173" i="4"/>
  <c r="E174" i="4" s="1"/>
  <c r="C173" i="4"/>
  <c r="B173" i="4"/>
  <c r="G1160" i="4"/>
  <c r="L1160" i="4" s="1"/>
  <c r="I1160" i="4" s="1"/>
  <c r="K1160" i="4" s="1"/>
  <c r="F447" i="4"/>
  <c r="E787" i="4"/>
  <c r="N786" i="4"/>
  <c r="E1161" i="4" l="1"/>
  <c r="N1160" i="4"/>
  <c r="O1160" i="4"/>
  <c r="I174" i="4"/>
  <c r="H174" i="4"/>
  <c r="F174" i="4"/>
  <c r="C174" i="4"/>
  <c r="G174" i="4"/>
  <c r="D174" i="4"/>
  <c r="N174" i="4"/>
  <c r="M174" i="4"/>
  <c r="B174" i="4"/>
  <c r="O174" i="4"/>
  <c r="A174" i="4"/>
  <c r="K174" i="4"/>
  <c r="E175" i="4" s="1"/>
  <c r="L174" i="4"/>
  <c r="J174" i="4"/>
  <c r="J1160" i="4"/>
  <c r="M787" i="4"/>
  <c r="C787" i="4"/>
  <c r="D787" i="4" s="1"/>
  <c r="H787" i="4" s="1"/>
  <c r="B787" i="4"/>
  <c r="A787" i="4"/>
  <c r="G447" i="4"/>
  <c r="L447" i="4" s="1"/>
  <c r="G175" i="4" l="1"/>
  <c r="M175" i="4"/>
  <c r="C175" i="4"/>
  <c r="A175" i="4"/>
  <c r="I175" i="4"/>
  <c r="F175" i="4"/>
  <c r="L175" i="4"/>
  <c r="N175" i="4"/>
  <c r="D175" i="4"/>
  <c r="B175" i="4"/>
  <c r="O175" i="4"/>
  <c r="K175" i="4"/>
  <c r="E176" i="4" s="1"/>
  <c r="J175" i="4"/>
  <c r="H175" i="4"/>
  <c r="B1161" i="4"/>
  <c r="A1161" i="4"/>
  <c r="L1161" i="4"/>
  <c r="K1161" i="4"/>
  <c r="E1162" i="4" s="1"/>
  <c r="C1161" i="4"/>
  <c r="D1161" i="4" s="1"/>
  <c r="H1161" i="4" s="1"/>
  <c r="N1161" i="4"/>
  <c r="I1161" i="4"/>
  <c r="F787" i="4"/>
  <c r="I447" i="4"/>
  <c r="K447" i="4" s="1"/>
  <c r="J447" i="4"/>
  <c r="O447" i="4"/>
  <c r="F1161" i="4" l="1"/>
  <c r="C176" i="4"/>
  <c r="J176" i="4"/>
  <c r="L176" i="4"/>
  <c r="D176" i="4"/>
  <c r="B176" i="4"/>
  <c r="O176" i="4"/>
  <c r="A176" i="4"/>
  <c r="K176" i="4"/>
  <c r="E177" i="4" s="1"/>
  <c r="H176" i="4"/>
  <c r="G176" i="4"/>
  <c r="F176" i="4"/>
  <c r="M176" i="4"/>
  <c r="I176" i="4"/>
  <c r="N176" i="4"/>
  <c r="M1162" i="4"/>
  <c r="C1162" i="4"/>
  <c r="D1162" i="4" s="1"/>
  <c r="H1162" i="4" s="1"/>
  <c r="B1162" i="4"/>
  <c r="A1162" i="4"/>
  <c r="E448" i="4"/>
  <c r="N447" i="4"/>
  <c r="G787" i="4"/>
  <c r="J787" i="4" s="1"/>
  <c r="F177" i="4" l="1"/>
  <c r="I177" i="4"/>
  <c r="C177" i="4"/>
  <c r="K177" i="4"/>
  <c r="E178" i="4" s="1"/>
  <c r="O177" i="4"/>
  <c r="L177" i="4"/>
  <c r="H177" i="4"/>
  <c r="D177" i="4"/>
  <c r="A177" i="4"/>
  <c r="G177" i="4"/>
  <c r="N177" i="4"/>
  <c r="M177" i="4"/>
  <c r="J177" i="4"/>
  <c r="B177" i="4"/>
  <c r="G1161" i="4"/>
  <c r="O1161" i="4" s="1"/>
  <c r="C448" i="4"/>
  <c r="D448" i="4" s="1"/>
  <c r="H448" i="4" s="1"/>
  <c r="A448" i="4"/>
  <c r="M448" i="4"/>
  <c r="B448" i="4"/>
  <c r="I787" i="4"/>
  <c r="K787" i="4" s="1"/>
  <c r="O787" i="4"/>
  <c r="L787" i="4"/>
  <c r="M1161" i="4" l="1"/>
  <c r="D178" i="4"/>
  <c r="C178" i="4"/>
  <c r="B178" i="4"/>
  <c r="N178" i="4"/>
  <c r="M178" i="4"/>
  <c r="L178" i="4"/>
  <c r="F178" i="4"/>
  <c r="J178" i="4"/>
  <c r="K178" i="4"/>
  <c r="E179" i="4" s="1"/>
  <c r="H178" i="4"/>
  <c r="A178" i="4"/>
  <c r="G178" i="4"/>
  <c r="O178" i="4"/>
  <c r="I178" i="4"/>
  <c r="J1161" i="4"/>
  <c r="F448" i="4"/>
  <c r="E788" i="4"/>
  <c r="N787" i="4"/>
  <c r="D179" i="4" l="1"/>
  <c r="B179" i="4"/>
  <c r="M179" i="4"/>
  <c r="L179" i="4"/>
  <c r="G179" i="4"/>
  <c r="K179" i="4"/>
  <c r="E180" i="4" s="1"/>
  <c r="J179" i="4"/>
  <c r="H179" i="4"/>
  <c r="F179" i="4"/>
  <c r="A179" i="4"/>
  <c r="O179" i="4"/>
  <c r="N179" i="4"/>
  <c r="I179" i="4"/>
  <c r="C179" i="4"/>
  <c r="F1162" i="4"/>
  <c r="G1162" i="4" s="1"/>
  <c r="C788" i="4"/>
  <c r="D788" i="4" s="1"/>
  <c r="H788" i="4" s="1"/>
  <c r="A788" i="4"/>
  <c r="M788" i="4"/>
  <c r="B788" i="4"/>
  <c r="G448" i="4"/>
  <c r="O448" i="4" s="1"/>
  <c r="B180" i="4" l="1"/>
  <c r="A180" i="4"/>
  <c r="I180" i="4"/>
  <c r="O180" i="4"/>
  <c r="H180" i="4"/>
  <c r="G180" i="4"/>
  <c r="N180" i="4"/>
  <c r="L180" i="4"/>
  <c r="J180" i="4"/>
  <c r="C180" i="4"/>
  <c r="M180" i="4"/>
  <c r="K180" i="4"/>
  <c r="E181" i="4" s="1"/>
  <c r="F180" i="4"/>
  <c r="D180" i="4"/>
  <c r="J1162" i="4"/>
  <c r="O1162" i="4"/>
  <c r="L1162" i="4"/>
  <c r="I1162" i="4" s="1"/>
  <c r="K1162" i="4" s="1"/>
  <c r="F788" i="4"/>
  <c r="G788" i="4"/>
  <c r="J448" i="4"/>
  <c r="I448" i="4"/>
  <c r="K448" i="4" s="1"/>
  <c r="L448" i="4"/>
  <c r="B181" i="4" l="1"/>
  <c r="I181" i="4"/>
  <c r="A181" i="4"/>
  <c r="L181" i="4"/>
  <c r="F181" i="4"/>
  <c r="O181" i="4"/>
  <c r="M181" i="4"/>
  <c r="H181" i="4"/>
  <c r="N181" i="4"/>
  <c r="K181" i="4"/>
  <c r="E182" i="4" s="1"/>
  <c r="D181" i="4"/>
  <c r="J181" i="4"/>
  <c r="G181" i="4"/>
  <c r="C181" i="4"/>
  <c r="E1163" i="4"/>
  <c r="N1162" i="4"/>
  <c r="E449" i="4"/>
  <c r="N448" i="4"/>
  <c r="O788" i="4"/>
  <c r="J788" i="4"/>
  <c r="L788" i="4"/>
  <c r="I788" i="4"/>
  <c r="K788" i="4" s="1"/>
  <c r="N182" i="4" l="1"/>
  <c r="I182" i="4"/>
  <c r="A182" i="4"/>
  <c r="M182" i="4"/>
  <c r="L182" i="4"/>
  <c r="K182" i="4"/>
  <c r="E183" i="4" s="1"/>
  <c r="J182" i="4"/>
  <c r="B182" i="4"/>
  <c r="C182" i="4"/>
  <c r="D182" i="4"/>
  <c r="O182" i="4"/>
  <c r="H182" i="4"/>
  <c r="F182" i="4"/>
  <c r="G182" i="4"/>
  <c r="I1163" i="4"/>
  <c r="C1163" i="4"/>
  <c r="B1163" i="4"/>
  <c r="A1163" i="4"/>
  <c r="N1163" i="4"/>
  <c r="L1163" i="4"/>
  <c r="D1163" i="4"/>
  <c r="H1163" i="4"/>
  <c r="K1163" i="4"/>
  <c r="E1164" i="4" s="1"/>
  <c r="F1163" i="4"/>
  <c r="E789" i="4"/>
  <c r="N788" i="4"/>
  <c r="C449" i="4"/>
  <c r="D449" i="4" s="1"/>
  <c r="H449" i="4" s="1"/>
  <c r="B449" i="4"/>
  <c r="A449" i="4"/>
  <c r="M449" i="4"/>
  <c r="G1163" i="4" l="1"/>
  <c r="O1163" i="4"/>
  <c r="J1163" i="4"/>
  <c r="H183" i="4"/>
  <c r="G183" i="4"/>
  <c r="N183" i="4"/>
  <c r="J183" i="4"/>
  <c r="D183" i="4"/>
  <c r="A183" i="4"/>
  <c r="C183" i="4"/>
  <c r="B183" i="4"/>
  <c r="K183" i="4"/>
  <c r="E184" i="4" s="1"/>
  <c r="I183" i="4"/>
  <c r="F183" i="4"/>
  <c r="O183" i="4"/>
  <c r="L183" i="4"/>
  <c r="M183" i="4"/>
  <c r="M1163" i="4"/>
  <c r="A1164" i="4"/>
  <c r="B1164" i="4"/>
  <c r="M1164" i="4"/>
  <c r="C1164" i="4"/>
  <c r="D1164" i="4" s="1"/>
  <c r="H1164" i="4" s="1"/>
  <c r="F449" i="4"/>
  <c r="G449" i="4" s="1"/>
  <c r="C789" i="4"/>
  <c r="B789" i="4"/>
  <c r="D789" i="4"/>
  <c r="H789" i="4" s="1"/>
  <c r="F789" i="4" s="1"/>
  <c r="A789" i="4"/>
  <c r="M789" i="4"/>
  <c r="F1164" i="4" l="1"/>
  <c r="G184" i="4"/>
  <c r="M184" i="4"/>
  <c r="L184" i="4"/>
  <c r="O184" i="4"/>
  <c r="N184" i="4"/>
  <c r="D184" i="4"/>
  <c r="K184" i="4"/>
  <c r="E185" i="4" s="1"/>
  <c r="J184" i="4"/>
  <c r="F184" i="4"/>
  <c r="B184" i="4"/>
  <c r="A184" i="4"/>
  <c r="I184" i="4"/>
  <c r="H184" i="4"/>
  <c r="C184" i="4"/>
  <c r="G789" i="4"/>
  <c r="O789" i="4" s="1"/>
  <c r="L449" i="4"/>
  <c r="O449" i="4"/>
  <c r="I449" i="4"/>
  <c r="K449" i="4" s="1"/>
  <c r="J449" i="4"/>
  <c r="A185" i="4" l="1"/>
  <c r="M185" i="4"/>
  <c r="L185" i="4"/>
  <c r="I185" i="4"/>
  <c r="H185" i="4"/>
  <c r="G185" i="4"/>
  <c r="C185" i="4"/>
  <c r="J185" i="4"/>
  <c r="K185" i="4"/>
  <c r="E186" i="4" s="1"/>
  <c r="D185" i="4"/>
  <c r="F185" i="4"/>
  <c r="O185" i="4"/>
  <c r="B185" i="4"/>
  <c r="N185" i="4"/>
  <c r="G1164" i="4"/>
  <c r="L1164" i="4" s="1"/>
  <c r="I1164" i="4" s="1"/>
  <c r="K1164" i="4" s="1"/>
  <c r="E450" i="4"/>
  <c r="N449" i="4"/>
  <c r="I789" i="4"/>
  <c r="K789" i="4" s="1"/>
  <c r="J789" i="4"/>
  <c r="L789" i="4"/>
  <c r="E1165" i="4" l="1"/>
  <c r="N1164" i="4"/>
  <c r="O1164" i="4"/>
  <c r="C186" i="4"/>
  <c r="J186" i="4"/>
  <c r="H186" i="4"/>
  <c r="I186" i="4"/>
  <c r="N186" i="4"/>
  <c r="M186" i="4"/>
  <c r="L186" i="4"/>
  <c r="G186" i="4"/>
  <c r="B186" i="4"/>
  <c r="K186" i="4"/>
  <c r="E187" i="4" s="1"/>
  <c r="F186" i="4"/>
  <c r="O186" i="4"/>
  <c r="A186" i="4"/>
  <c r="D186" i="4"/>
  <c r="J1164" i="4"/>
  <c r="E790" i="4"/>
  <c r="N789" i="4"/>
  <c r="C450" i="4"/>
  <c r="D450" i="4" s="1"/>
  <c r="H450" i="4" s="1"/>
  <c r="B450" i="4"/>
  <c r="A450" i="4"/>
  <c r="M450" i="4"/>
  <c r="O187" i="4" l="1"/>
  <c r="H187" i="4"/>
  <c r="B187" i="4"/>
  <c r="N187" i="4"/>
  <c r="F187" i="4"/>
  <c r="K187" i="4"/>
  <c r="E188" i="4" s="1"/>
  <c r="J187" i="4"/>
  <c r="I187" i="4"/>
  <c r="G187" i="4"/>
  <c r="A187" i="4"/>
  <c r="M187" i="4"/>
  <c r="L187" i="4"/>
  <c r="D187" i="4"/>
  <c r="C187" i="4"/>
  <c r="L1165" i="4"/>
  <c r="C1165" i="4"/>
  <c r="K1165" i="4"/>
  <c r="E1166" i="4" s="1"/>
  <c r="B1165" i="4"/>
  <c r="A1165" i="4"/>
  <c r="I1165" i="4"/>
  <c r="D1165" i="4"/>
  <c r="H1165" i="4" s="1"/>
  <c r="N1165" i="4"/>
  <c r="F450" i="4"/>
  <c r="B790" i="4"/>
  <c r="A790" i="4"/>
  <c r="M790" i="4"/>
  <c r="C790" i="4"/>
  <c r="D790" i="4" s="1"/>
  <c r="H790" i="4" s="1"/>
  <c r="F1165" i="4" l="1"/>
  <c r="B188" i="4"/>
  <c r="A188" i="4"/>
  <c r="F188" i="4"/>
  <c r="O188" i="4"/>
  <c r="N188" i="4"/>
  <c r="L188" i="4"/>
  <c r="J188" i="4"/>
  <c r="I188" i="4"/>
  <c r="H188" i="4"/>
  <c r="D188" i="4"/>
  <c r="C188" i="4"/>
  <c r="G188" i="4"/>
  <c r="M188" i="4"/>
  <c r="K188" i="4"/>
  <c r="E189" i="4" s="1"/>
  <c r="A1166" i="4"/>
  <c r="M1166" i="4"/>
  <c r="B1166" i="4"/>
  <c r="C1166" i="4"/>
  <c r="D1166" i="4" s="1"/>
  <c r="H1166" i="4" s="1"/>
  <c r="F790" i="4"/>
  <c r="G790" i="4" s="1"/>
  <c r="G450" i="4"/>
  <c r="I450" i="4" s="1"/>
  <c r="K450" i="4" s="1"/>
  <c r="N189" i="4" l="1"/>
  <c r="F189" i="4"/>
  <c r="M189" i="4"/>
  <c r="L189" i="4"/>
  <c r="K189" i="4"/>
  <c r="E190" i="4" s="1"/>
  <c r="H189" i="4"/>
  <c r="G189" i="4"/>
  <c r="J189" i="4"/>
  <c r="O189" i="4"/>
  <c r="D189" i="4"/>
  <c r="I189" i="4"/>
  <c r="C189" i="4"/>
  <c r="B189" i="4"/>
  <c r="A189" i="4"/>
  <c r="G1165" i="4"/>
  <c r="J1165" i="4" s="1"/>
  <c r="E451" i="4"/>
  <c r="N450" i="4"/>
  <c r="J450" i="4"/>
  <c r="O450" i="4"/>
  <c r="L450" i="4"/>
  <c r="O790" i="4"/>
  <c r="J790" i="4"/>
  <c r="I790" i="4"/>
  <c r="K790" i="4" s="1"/>
  <c r="L790" i="4"/>
  <c r="O1165" i="4" l="1"/>
  <c r="A190" i="4"/>
  <c r="K190" i="4"/>
  <c r="E191" i="4" s="1"/>
  <c r="G190" i="4"/>
  <c r="O190" i="4"/>
  <c r="C190" i="4"/>
  <c r="M190" i="4"/>
  <c r="F190" i="4"/>
  <c r="N190" i="4"/>
  <c r="L190" i="4"/>
  <c r="I190" i="4"/>
  <c r="B190" i="4"/>
  <c r="J190" i="4"/>
  <c r="H190" i="4"/>
  <c r="D190" i="4"/>
  <c r="M1165" i="4"/>
  <c r="E791" i="4"/>
  <c r="N790" i="4"/>
  <c r="C451" i="4"/>
  <c r="D451" i="4" s="1"/>
  <c r="H451" i="4" s="1"/>
  <c r="B451" i="4"/>
  <c r="M451" i="4"/>
  <c r="A451" i="4"/>
  <c r="I191" i="4" l="1"/>
  <c r="A191" i="4"/>
  <c r="D191" i="4"/>
  <c r="L191" i="4"/>
  <c r="N191" i="4"/>
  <c r="C191" i="4"/>
  <c r="J191" i="4"/>
  <c r="G191" i="4"/>
  <c r="F191" i="4"/>
  <c r="B191" i="4"/>
  <c r="M191" i="4"/>
  <c r="K191" i="4"/>
  <c r="E192" i="4" s="1"/>
  <c r="H191" i="4"/>
  <c r="O191" i="4"/>
  <c r="F1166" i="4"/>
  <c r="F451" i="4"/>
  <c r="A791" i="4"/>
  <c r="C791" i="4"/>
  <c r="D791" i="4" s="1"/>
  <c r="H791" i="4" s="1"/>
  <c r="B791" i="4"/>
  <c r="M791" i="4"/>
  <c r="A192" i="4" l="1"/>
  <c r="D192" i="4"/>
  <c r="C192" i="4"/>
  <c r="K192" i="4"/>
  <c r="E193" i="4" s="1"/>
  <c r="H192" i="4"/>
  <c r="G192" i="4"/>
  <c r="F192" i="4"/>
  <c r="I192" i="4"/>
  <c r="M192" i="4"/>
  <c r="L192" i="4"/>
  <c r="J192" i="4"/>
  <c r="O192" i="4"/>
  <c r="N192" i="4"/>
  <c r="B192" i="4"/>
  <c r="G1166" i="4"/>
  <c r="J1166" i="4" s="1"/>
  <c r="F791" i="4"/>
  <c r="G791" i="4" s="1"/>
  <c r="G451" i="4"/>
  <c r="L451" i="4" s="1"/>
  <c r="O193" i="4" l="1"/>
  <c r="G193" i="4"/>
  <c r="N193" i="4"/>
  <c r="A193" i="4"/>
  <c r="B193" i="4"/>
  <c r="M193" i="4"/>
  <c r="L193" i="4"/>
  <c r="K193" i="4"/>
  <c r="E194" i="4" s="1"/>
  <c r="I193" i="4"/>
  <c r="D193" i="4"/>
  <c r="C193" i="4"/>
  <c r="J193" i="4"/>
  <c r="H193" i="4"/>
  <c r="F193" i="4"/>
  <c r="L1166" i="4"/>
  <c r="I1166" i="4" s="1"/>
  <c r="K1166" i="4" s="1"/>
  <c r="O1166" i="4"/>
  <c r="O451" i="4"/>
  <c r="J451" i="4"/>
  <c r="I451" i="4"/>
  <c r="K451" i="4" s="1"/>
  <c r="L791" i="4"/>
  <c r="J791" i="4"/>
  <c r="O791" i="4"/>
  <c r="I791" i="4"/>
  <c r="K791" i="4" s="1"/>
  <c r="D194" i="4" l="1"/>
  <c r="N194" i="4"/>
  <c r="A194" i="4"/>
  <c r="L194" i="4"/>
  <c r="H194" i="4"/>
  <c r="M194" i="4"/>
  <c r="J194" i="4"/>
  <c r="I194" i="4"/>
  <c r="O194" i="4"/>
  <c r="K194" i="4"/>
  <c r="E195" i="4" s="1"/>
  <c r="F194" i="4"/>
  <c r="C194" i="4"/>
  <c r="B194" i="4"/>
  <c r="G194" i="4"/>
  <c r="E1167" i="4"/>
  <c r="N1166" i="4"/>
  <c r="E792" i="4"/>
  <c r="N791" i="4"/>
  <c r="E452" i="4"/>
  <c r="N451" i="4"/>
  <c r="N195" i="4" l="1"/>
  <c r="D195" i="4"/>
  <c r="C195" i="4"/>
  <c r="B195" i="4"/>
  <c r="M195" i="4"/>
  <c r="K195" i="4"/>
  <c r="E196" i="4" s="1"/>
  <c r="J195" i="4"/>
  <c r="G195" i="4"/>
  <c r="L195" i="4"/>
  <c r="H195" i="4"/>
  <c r="A195" i="4"/>
  <c r="F195" i="4"/>
  <c r="O195" i="4"/>
  <c r="I195" i="4"/>
  <c r="C1167" i="4"/>
  <c r="L1167" i="4"/>
  <c r="D1167" i="4"/>
  <c r="H1167" i="4" s="1"/>
  <c r="A1167" i="4"/>
  <c r="K1167" i="4"/>
  <c r="E1168" i="4" s="1"/>
  <c r="B1167" i="4"/>
  <c r="N1167" i="4"/>
  <c r="I1167" i="4"/>
  <c r="C452" i="4"/>
  <c r="B452" i="4"/>
  <c r="A452" i="4"/>
  <c r="M452" i="4"/>
  <c r="D452" i="4"/>
  <c r="H452" i="4" s="1"/>
  <c r="M792" i="4"/>
  <c r="A792" i="4"/>
  <c r="B792" i="4"/>
  <c r="C792" i="4"/>
  <c r="D792" i="4" s="1"/>
  <c r="H792" i="4" s="1"/>
  <c r="F1167" i="4" l="1"/>
  <c r="G1167" i="4" s="1"/>
  <c r="A196" i="4"/>
  <c r="O196" i="4"/>
  <c r="M196" i="4"/>
  <c r="N196" i="4"/>
  <c r="L196" i="4"/>
  <c r="B196" i="4"/>
  <c r="K196" i="4"/>
  <c r="E197" i="4" s="1"/>
  <c r="J196" i="4"/>
  <c r="H196" i="4"/>
  <c r="G196" i="4"/>
  <c r="F196" i="4"/>
  <c r="I196" i="4"/>
  <c r="D196" i="4"/>
  <c r="C196" i="4"/>
  <c r="B1168" i="4"/>
  <c r="C1168" i="4"/>
  <c r="D1168" i="4"/>
  <c r="H1168" i="4"/>
  <c r="A1168" i="4"/>
  <c r="M1168" i="4"/>
  <c r="F792" i="4"/>
  <c r="F452" i="4"/>
  <c r="G452" i="4" s="1"/>
  <c r="D197" i="4" l="1"/>
  <c r="G197" i="4"/>
  <c r="F197" i="4"/>
  <c r="O197" i="4"/>
  <c r="I197" i="4"/>
  <c r="C197" i="4"/>
  <c r="B197" i="4"/>
  <c r="L197" i="4"/>
  <c r="A197" i="4"/>
  <c r="N197" i="4"/>
  <c r="M197" i="4"/>
  <c r="J197" i="4"/>
  <c r="H197" i="4"/>
  <c r="K197" i="4"/>
  <c r="E198" i="4" s="1"/>
  <c r="J1167" i="4"/>
  <c r="M1167" i="4"/>
  <c r="O1167" i="4"/>
  <c r="I452" i="4"/>
  <c r="K452" i="4" s="1"/>
  <c r="L452" i="4"/>
  <c r="J452" i="4"/>
  <c r="O452" i="4"/>
  <c r="G792" i="4"/>
  <c r="L792" i="4" s="1"/>
  <c r="D198" i="4" l="1"/>
  <c r="B198" i="4"/>
  <c r="A198" i="4"/>
  <c r="N198" i="4"/>
  <c r="M198" i="4"/>
  <c r="C198" i="4"/>
  <c r="K198" i="4"/>
  <c r="E199" i="4" s="1"/>
  <c r="J198" i="4"/>
  <c r="L198" i="4"/>
  <c r="H198" i="4"/>
  <c r="O198" i="4"/>
  <c r="G198" i="4"/>
  <c r="F198" i="4"/>
  <c r="I198" i="4"/>
  <c r="F1168" i="4"/>
  <c r="E453" i="4"/>
  <c r="N452" i="4"/>
  <c r="O792" i="4"/>
  <c r="I792" i="4"/>
  <c r="K792" i="4" s="1"/>
  <c r="J792" i="4"/>
  <c r="F199" i="4" l="1"/>
  <c r="A199" i="4"/>
  <c r="O199" i="4"/>
  <c r="C199" i="4"/>
  <c r="D199" i="4"/>
  <c r="M199" i="4"/>
  <c r="G199" i="4"/>
  <c r="N199" i="4"/>
  <c r="K199" i="4"/>
  <c r="E200" i="4" s="1"/>
  <c r="I199" i="4"/>
  <c r="B199" i="4"/>
  <c r="J199" i="4"/>
  <c r="L199" i="4"/>
  <c r="H199" i="4"/>
  <c r="G1168" i="4"/>
  <c r="L1168" i="4" s="1"/>
  <c r="I1168" i="4" s="1"/>
  <c r="K1168" i="4" s="1"/>
  <c r="E793" i="4"/>
  <c r="N792" i="4"/>
  <c r="B453" i="4"/>
  <c r="A453" i="4"/>
  <c r="C453" i="4"/>
  <c r="D453" i="4" s="1"/>
  <c r="H453" i="4" s="1"/>
  <c r="M453" i="4"/>
  <c r="E1169" i="4" l="1"/>
  <c r="N1168" i="4"/>
  <c r="H200" i="4"/>
  <c r="G200" i="4"/>
  <c r="O200" i="4"/>
  <c r="A200" i="4"/>
  <c r="C200" i="4"/>
  <c r="N200" i="4"/>
  <c r="F200" i="4"/>
  <c r="D200" i="4"/>
  <c r="B200" i="4"/>
  <c r="M200" i="4"/>
  <c r="L200" i="4"/>
  <c r="K200" i="4"/>
  <c r="E201" i="4" s="1"/>
  <c r="J200" i="4"/>
  <c r="I200" i="4"/>
  <c r="O1168" i="4"/>
  <c r="J1168" i="4"/>
  <c r="F453" i="4"/>
  <c r="G453" i="4" s="1"/>
  <c r="M793" i="4"/>
  <c r="B793" i="4"/>
  <c r="A793" i="4"/>
  <c r="C793" i="4"/>
  <c r="D793" i="4" s="1"/>
  <c r="H793" i="4" s="1"/>
  <c r="B201" i="4" l="1"/>
  <c r="A201" i="4"/>
  <c r="H201" i="4"/>
  <c r="N201" i="4"/>
  <c r="L201" i="4"/>
  <c r="I201" i="4"/>
  <c r="O201" i="4"/>
  <c r="M201" i="4"/>
  <c r="K201" i="4"/>
  <c r="E202" i="4" s="1"/>
  <c r="C201" i="4"/>
  <c r="G201" i="4"/>
  <c r="J201" i="4"/>
  <c r="F201" i="4"/>
  <c r="D201" i="4"/>
  <c r="C1169" i="4"/>
  <c r="I1169" i="4"/>
  <c r="L1169" i="4"/>
  <c r="D1169" i="4"/>
  <c r="H1169" i="4" s="1"/>
  <c r="B1169" i="4"/>
  <c r="A1169" i="4"/>
  <c r="K1169" i="4"/>
  <c r="E1170" i="4" s="1"/>
  <c r="N1169" i="4"/>
  <c r="F793" i="4"/>
  <c r="O453" i="4"/>
  <c r="L453" i="4"/>
  <c r="I453" i="4"/>
  <c r="K453" i="4" s="1"/>
  <c r="J453" i="4"/>
  <c r="F1169" i="4" l="1"/>
  <c r="O202" i="4"/>
  <c r="D202" i="4"/>
  <c r="B202" i="4"/>
  <c r="A202" i="4"/>
  <c r="C202" i="4"/>
  <c r="M202" i="4"/>
  <c r="K202" i="4"/>
  <c r="E203" i="4" s="1"/>
  <c r="J202" i="4"/>
  <c r="I202" i="4"/>
  <c r="F202" i="4"/>
  <c r="G202" i="4"/>
  <c r="N202" i="4"/>
  <c r="L202" i="4"/>
  <c r="H202" i="4"/>
  <c r="M1170" i="4"/>
  <c r="B1170" i="4"/>
  <c r="C1170" i="4"/>
  <c r="D1170" i="4" s="1"/>
  <c r="H1170" i="4" s="1"/>
  <c r="A1170" i="4"/>
  <c r="E454" i="4"/>
  <c r="N453" i="4"/>
  <c r="G793" i="4"/>
  <c r="I793" i="4" s="1"/>
  <c r="K793" i="4" s="1"/>
  <c r="O203" i="4" l="1"/>
  <c r="C203" i="4"/>
  <c r="F203" i="4"/>
  <c r="K203" i="4"/>
  <c r="E204" i="4" s="1"/>
  <c r="D203" i="4"/>
  <c r="B203" i="4"/>
  <c r="N203" i="4"/>
  <c r="M203" i="4"/>
  <c r="A203" i="4"/>
  <c r="L203" i="4"/>
  <c r="G203" i="4"/>
  <c r="J203" i="4"/>
  <c r="I203" i="4"/>
  <c r="H203" i="4"/>
  <c r="G1169" i="4"/>
  <c r="M1169" i="4" s="1"/>
  <c r="E794" i="4"/>
  <c r="N793" i="4"/>
  <c r="J793" i="4"/>
  <c r="O793" i="4"/>
  <c r="L793" i="4"/>
  <c r="A454" i="4"/>
  <c r="M454" i="4"/>
  <c r="B454" i="4"/>
  <c r="C454" i="4"/>
  <c r="D454" i="4" s="1"/>
  <c r="H454" i="4" s="1"/>
  <c r="F1170" i="4" l="1"/>
  <c r="G1170" i="4" s="1"/>
  <c r="J1169" i="4"/>
  <c r="G204" i="4"/>
  <c r="C204" i="4"/>
  <c r="A204" i="4"/>
  <c r="K204" i="4"/>
  <c r="E205" i="4" s="1"/>
  <c r="F204" i="4"/>
  <c r="D204" i="4"/>
  <c r="B204" i="4"/>
  <c r="N204" i="4"/>
  <c r="M204" i="4"/>
  <c r="L204" i="4"/>
  <c r="I204" i="4"/>
  <c r="O204" i="4"/>
  <c r="J204" i="4"/>
  <c r="H204" i="4"/>
  <c r="O1169" i="4"/>
  <c r="F454" i="4"/>
  <c r="G454" i="4" s="1"/>
  <c r="C794" i="4"/>
  <c r="D794" i="4" s="1"/>
  <c r="H794" i="4" s="1"/>
  <c r="F794" i="4" s="1"/>
  <c r="B794" i="4"/>
  <c r="A794" i="4"/>
  <c r="M794" i="4"/>
  <c r="D205" i="4" l="1"/>
  <c r="N205" i="4"/>
  <c r="M205" i="4"/>
  <c r="K205" i="4"/>
  <c r="E206" i="4" s="1"/>
  <c r="C205" i="4"/>
  <c r="J205" i="4"/>
  <c r="G205" i="4"/>
  <c r="F205" i="4"/>
  <c r="O205" i="4"/>
  <c r="A205" i="4"/>
  <c r="L205" i="4"/>
  <c r="B205" i="4"/>
  <c r="I205" i="4"/>
  <c r="H205" i="4"/>
  <c r="J1170" i="4"/>
  <c r="O1170" i="4"/>
  <c r="L1170" i="4"/>
  <c r="I1170" i="4" s="1"/>
  <c r="K1170" i="4" s="1"/>
  <c r="G794" i="4"/>
  <c r="O794" i="4" s="1"/>
  <c r="J454" i="4"/>
  <c r="I454" i="4"/>
  <c r="K454" i="4" s="1"/>
  <c r="O454" i="4"/>
  <c r="L454" i="4"/>
  <c r="E1171" i="4" l="1"/>
  <c r="N1170" i="4"/>
  <c r="F206" i="4"/>
  <c r="O206" i="4"/>
  <c r="D206" i="4"/>
  <c r="A206" i="4"/>
  <c r="M206" i="4"/>
  <c r="L206" i="4"/>
  <c r="J206" i="4"/>
  <c r="I206" i="4"/>
  <c r="B206" i="4"/>
  <c r="K206" i="4"/>
  <c r="E207" i="4" s="1"/>
  <c r="C206" i="4"/>
  <c r="N206" i="4"/>
  <c r="G206" i="4"/>
  <c r="H206" i="4"/>
  <c r="I794" i="4"/>
  <c r="K794" i="4" s="1"/>
  <c r="J794" i="4"/>
  <c r="L794" i="4"/>
  <c r="E455" i="4"/>
  <c r="N454" i="4"/>
  <c r="G207" i="4" l="1"/>
  <c r="D207" i="4"/>
  <c r="O207" i="4"/>
  <c r="B207" i="4"/>
  <c r="K207" i="4"/>
  <c r="E208" i="4" s="1"/>
  <c r="H207" i="4"/>
  <c r="F207" i="4"/>
  <c r="C207" i="4"/>
  <c r="I207" i="4"/>
  <c r="A207" i="4"/>
  <c r="M207" i="4"/>
  <c r="N207" i="4"/>
  <c r="L207" i="4"/>
  <c r="J207" i="4"/>
  <c r="N1171" i="4"/>
  <c r="A1171" i="4"/>
  <c r="C1171" i="4"/>
  <c r="B1171" i="4"/>
  <c r="D1171" i="4"/>
  <c r="H1171" i="4" s="1"/>
  <c r="L1171" i="4"/>
  <c r="K1171" i="4"/>
  <c r="E1172" i="4" s="1"/>
  <c r="I1171" i="4"/>
  <c r="M455" i="4"/>
  <c r="C455" i="4"/>
  <c r="D455" i="4" s="1"/>
  <c r="H455" i="4" s="1"/>
  <c r="B455" i="4"/>
  <c r="A455" i="4"/>
  <c r="E795" i="4"/>
  <c r="N794" i="4"/>
  <c r="F1171" i="4" l="1"/>
  <c r="A1172" i="4"/>
  <c r="M1172" i="4"/>
  <c r="B1172" i="4"/>
  <c r="C1172" i="4"/>
  <c r="D1172" i="4" s="1"/>
  <c r="H1172" i="4" s="1"/>
  <c r="D208" i="4"/>
  <c r="C208" i="4"/>
  <c r="B208" i="4"/>
  <c r="O208" i="4"/>
  <c r="A208" i="4"/>
  <c r="I208" i="4"/>
  <c r="M208" i="4"/>
  <c r="K208" i="4"/>
  <c r="E209" i="4" s="1"/>
  <c r="J208" i="4"/>
  <c r="N208" i="4"/>
  <c r="L208" i="4"/>
  <c r="H208" i="4"/>
  <c r="G208" i="4"/>
  <c r="F208" i="4"/>
  <c r="F455" i="4"/>
  <c r="C795" i="4"/>
  <c r="D795" i="4" s="1"/>
  <c r="H795" i="4" s="1"/>
  <c r="A795" i="4"/>
  <c r="M795" i="4"/>
  <c r="B795" i="4"/>
  <c r="I209" i="4" l="1"/>
  <c r="C209" i="4"/>
  <c r="B209" i="4"/>
  <c r="H209" i="4"/>
  <c r="G209" i="4"/>
  <c r="F209" i="4"/>
  <c r="D209" i="4"/>
  <c r="M209" i="4"/>
  <c r="A209" i="4"/>
  <c r="N209" i="4"/>
  <c r="L209" i="4"/>
  <c r="K209" i="4"/>
  <c r="E210" i="4" s="1"/>
  <c r="O209" i="4"/>
  <c r="J209" i="4"/>
  <c r="G1171" i="4"/>
  <c r="M1171" i="4" s="1"/>
  <c r="F795" i="4"/>
  <c r="G455" i="4"/>
  <c r="O455" i="4" s="1"/>
  <c r="F1172" i="4" l="1"/>
  <c r="G1172" i="4" s="1"/>
  <c r="C210" i="4"/>
  <c r="D210" i="4"/>
  <c r="O210" i="4"/>
  <c r="N210" i="4"/>
  <c r="B210" i="4"/>
  <c r="A210" i="4"/>
  <c r="M210" i="4"/>
  <c r="L210" i="4"/>
  <c r="F210" i="4"/>
  <c r="K210" i="4"/>
  <c r="E211" i="4" s="1"/>
  <c r="J210" i="4"/>
  <c r="I210" i="4"/>
  <c r="H210" i="4"/>
  <c r="G210" i="4"/>
  <c r="J1171" i="4"/>
  <c r="O1171" i="4"/>
  <c r="L455" i="4"/>
  <c r="I455" i="4"/>
  <c r="K455" i="4" s="1"/>
  <c r="J455" i="4"/>
  <c r="G795" i="4"/>
  <c r="I795" i="4" s="1"/>
  <c r="K795" i="4" s="1"/>
  <c r="O1172" i="4" l="1"/>
  <c r="J1172" i="4"/>
  <c r="B211" i="4"/>
  <c r="L211" i="4"/>
  <c r="O211" i="4"/>
  <c r="M211" i="4"/>
  <c r="A211" i="4"/>
  <c r="N211" i="4"/>
  <c r="I211" i="4"/>
  <c r="G211" i="4"/>
  <c r="F211" i="4"/>
  <c r="K211" i="4"/>
  <c r="E212" i="4" s="1"/>
  <c r="J211" i="4"/>
  <c r="H211" i="4"/>
  <c r="C211" i="4"/>
  <c r="D211" i="4"/>
  <c r="L1172" i="4"/>
  <c r="I1172" i="4" s="1"/>
  <c r="K1172" i="4" s="1"/>
  <c r="E796" i="4"/>
  <c r="N795" i="4"/>
  <c r="L795" i="4"/>
  <c r="O795" i="4"/>
  <c r="J795" i="4"/>
  <c r="E456" i="4"/>
  <c r="N455" i="4"/>
  <c r="B212" i="4" l="1"/>
  <c r="A212" i="4"/>
  <c r="K212" i="4"/>
  <c r="E213" i="4" s="1"/>
  <c r="O212" i="4"/>
  <c r="H212" i="4"/>
  <c r="F212" i="4"/>
  <c r="G212" i="4"/>
  <c r="C212" i="4"/>
  <c r="N212" i="4"/>
  <c r="J212" i="4"/>
  <c r="I212" i="4"/>
  <c r="D212" i="4"/>
  <c r="M212" i="4"/>
  <c r="L212" i="4"/>
  <c r="E1173" i="4"/>
  <c r="N1172" i="4"/>
  <c r="M456" i="4"/>
  <c r="C456" i="4"/>
  <c r="D456" i="4" s="1"/>
  <c r="H456" i="4" s="1"/>
  <c r="B456" i="4"/>
  <c r="A456" i="4"/>
  <c r="M796" i="4"/>
  <c r="C796" i="4"/>
  <c r="D796" i="4" s="1"/>
  <c r="H796" i="4" s="1"/>
  <c r="B796" i="4"/>
  <c r="A796" i="4"/>
  <c r="B213" i="4" l="1"/>
  <c r="C213" i="4"/>
  <c r="A213" i="4"/>
  <c r="L213" i="4"/>
  <c r="K213" i="4"/>
  <c r="E214" i="4" s="1"/>
  <c r="I213" i="4"/>
  <c r="H213" i="4"/>
  <c r="F213" i="4"/>
  <c r="J213" i="4"/>
  <c r="N213" i="4"/>
  <c r="M213" i="4"/>
  <c r="G213" i="4"/>
  <c r="O213" i="4"/>
  <c r="D213" i="4"/>
  <c r="A1173" i="4"/>
  <c r="K1173" i="4"/>
  <c r="E1174" i="4" s="1"/>
  <c r="N1173" i="4"/>
  <c r="C1173" i="4"/>
  <c r="D1173" i="4" s="1"/>
  <c r="H1173" i="4" s="1"/>
  <c r="I1173" i="4"/>
  <c r="L1173" i="4"/>
  <c r="B1173" i="4"/>
  <c r="F796" i="4"/>
  <c r="F456" i="4"/>
  <c r="G456" i="4" s="1"/>
  <c r="F1173" i="4" l="1"/>
  <c r="J214" i="4"/>
  <c r="H214" i="4"/>
  <c r="G214" i="4"/>
  <c r="D214" i="4"/>
  <c r="B214" i="4"/>
  <c r="C214" i="4"/>
  <c r="N214" i="4"/>
  <c r="L214" i="4"/>
  <c r="K214" i="4"/>
  <c r="E215" i="4" s="1"/>
  <c r="F214" i="4"/>
  <c r="A214" i="4"/>
  <c r="I214" i="4"/>
  <c r="O214" i="4"/>
  <c r="M214" i="4"/>
  <c r="C1174" i="4"/>
  <c r="D1174" i="4" s="1"/>
  <c r="H1174" i="4" s="1"/>
  <c r="B1174" i="4"/>
  <c r="A1174" i="4"/>
  <c r="M1174" i="4"/>
  <c r="L456" i="4"/>
  <c r="I456" i="4"/>
  <c r="K456" i="4" s="1"/>
  <c r="O456" i="4"/>
  <c r="J456" i="4"/>
  <c r="G796" i="4"/>
  <c r="O796" i="4" s="1"/>
  <c r="C215" i="4" l="1"/>
  <c r="B215" i="4"/>
  <c r="O215" i="4"/>
  <c r="L215" i="4"/>
  <c r="D215" i="4"/>
  <c r="H215" i="4"/>
  <c r="N215" i="4"/>
  <c r="I215" i="4"/>
  <c r="A215" i="4"/>
  <c r="M215" i="4"/>
  <c r="K215" i="4"/>
  <c r="E216" i="4" s="1"/>
  <c r="J215" i="4"/>
  <c r="F215" i="4"/>
  <c r="G215" i="4"/>
  <c r="G1173" i="4"/>
  <c r="M1173" i="4" s="1"/>
  <c r="I796" i="4"/>
  <c r="K796" i="4" s="1"/>
  <c r="J796" i="4"/>
  <c r="L796" i="4"/>
  <c r="E457" i="4"/>
  <c r="N456" i="4"/>
  <c r="F1174" i="4" l="1"/>
  <c r="G1174" i="4" s="1"/>
  <c r="J1173" i="4"/>
  <c r="O1173" i="4"/>
  <c r="C216" i="4"/>
  <c r="A216" i="4"/>
  <c r="O216" i="4"/>
  <c r="N216" i="4"/>
  <c r="J216" i="4"/>
  <c r="H216" i="4"/>
  <c r="D216" i="4"/>
  <c r="B216" i="4"/>
  <c r="G216" i="4"/>
  <c r="I216" i="4"/>
  <c r="F216" i="4"/>
  <c r="M216" i="4"/>
  <c r="L216" i="4"/>
  <c r="K216" i="4"/>
  <c r="E217" i="4" s="1"/>
  <c r="M457" i="4"/>
  <c r="C457" i="4"/>
  <c r="D457" i="4" s="1"/>
  <c r="H457" i="4" s="1"/>
  <c r="B457" i="4"/>
  <c r="A457" i="4"/>
  <c r="E797" i="4"/>
  <c r="N796" i="4"/>
  <c r="D217" i="4" l="1"/>
  <c r="B217" i="4"/>
  <c r="C217" i="4"/>
  <c r="O217" i="4"/>
  <c r="N217" i="4"/>
  <c r="M217" i="4"/>
  <c r="A217" i="4"/>
  <c r="J217" i="4"/>
  <c r="I217" i="4"/>
  <c r="H217" i="4"/>
  <c r="G217" i="4"/>
  <c r="F217" i="4"/>
  <c r="L217" i="4"/>
  <c r="K217" i="4"/>
  <c r="E218" i="4" s="1"/>
  <c r="J1174" i="4"/>
  <c r="O1174" i="4"/>
  <c r="L1174" i="4"/>
  <c r="I1174" i="4" s="1"/>
  <c r="K1174" i="4" s="1"/>
  <c r="F457" i="4"/>
  <c r="M797" i="4"/>
  <c r="B797" i="4"/>
  <c r="A797" i="4"/>
  <c r="C797" i="4"/>
  <c r="D797" i="4" s="1"/>
  <c r="H797" i="4" s="1"/>
  <c r="B218" i="4" l="1"/>
  <c r="O218" i="4"/>
  <c r="N218" i="4"/>
  <c r="I218" i="4"/>
  <c r="D218" i="4"/>
  <c r="A218" i="4"/>
  <c r="H218" i="4"/>
  <c r="C218" i="4"/>
  <c r="L218" i="4"/>
  <c r="J218" i="4"/>
  <c r="M218" i="4"/>
  <c r="K218" i="4"/>
  <c r="E219" i="4" s="1"/>
  <c r="F218" i="4"/>
  <c r="G218" i="4"/>
  <c r="E1175" i="4"/>
  <c r="N1174" i="4"/>
  <c r="F797" i="4"/>
  <c r="G457" i="4"/>
  <c r="L457" i="4" s="1"/>
  <c r="D219" i="4" l="1"/>
  <c r="M219" i="4"/>
  <c r="J219" i="4"/>
  <c r="I219" i="4"/>
  <c r="B219" i="4"/>
  <c r="A219" i="4"/>
  <c r="O219" i="4"/>
  <c r="G219" i="4"/>
  <c r="N219" i="4"/>
  <c r="L219" i="4"/>
  <c r="K219" i="4"/>
  <c r="E220" i="4" s="1"/>
  <c r="H219" i="4"/>
  <c r="F219" i="4"/>
  <c r="C219" i="4"/>
  <c r="C1175" i="4"/>
  <c r="I1175" i="4"/>
  <c r="N1175" i="4"/>
  <c r="D1175" i="4"/>
  <c r="A1175" i="4"/>
  <c r="K1175" i="4"/>
  <c r="E1176" i="4" s="1"/>
  <c r="H1175" i="4"/>
  <c r="B1175" i="4"/>
  <c r="L1175" i="4"/>
  <c r="J457" i="4"/>
  <c r="I457" i="4"/>
  <c r="K457" i="4" s="1"/>
  <c r="O457" i="4"/>
  <c r="G797" i="4"/>
  <c r="J797" i="4" s="1"/>
  <c r="B1176" i="4" l="1"/>
  <c r="M1176" i="4"/>
  <c r="A1176" i="4"/>
  <c r="C1176" i="4"/>
  <c r="D1176" i="4" s="1"/>
  <c r="H1176" i="4" s="1"/>
  <c r="D220" i="4"/>
  <c r="B220" i="4"/>
  <c r="C220" i="4"/>
  <c r="O220" i="4"/>
  <c r="I220" i="4"/>
  <c r="M220" i="4"/>
  <c r="K220" i="4"/>
  <c r="E221" i="4" s="1"/>
  <c r="J220" i="4"/>
  <c r="G220" i="4"/>
  <c r="F220" i="4"/>
  <c r="A220" i="4"/>
  <c r="H220" i="4"/>
  <c r="N220" i="4"/>
  <c r="L220" i="4"/>
  <c r="F1175" i="4"/>
  <c r="E458" i="4"/>
  <c r="N457" i="4"/>
  <c r="O797" i="4"/>
  <c r="I797" i="4"/>
  <c r="K797" i="4" s="1"/>
  <c r="L797" i="4"/>
  <c r="G221" i="4" l="1"/>
  <c r="M221" i="4"/>
  <c r="L221" i="4"/>
  <c r="J221" i="4"/>
  <c r="F221" i="4"/>
  <c r="D221" i="4"/>
  <c r="B221" i="4"/>
  <c r="C221" i="4"/>
  <c r="A221" i="4"/>
  <c r="I221" i="4"/>
  <c r="O221" i="4"/>
  <c r="H221" i="4"/>
  <c r="N221" i="4"/>
  <c r="K221" i="4"/>
  <c r="E222" i="4" s="1"/>
  <c r="G1175" i="4"/>
  <c r="J1175" i="4" s="1"/>
  <c r="E798" i="4"/>
  <c r="N797" i="4"/>
  <c r="M458" i="4"/>
  <c r="A458" i="4"/>
  <c r="C458" i="4"/>
  <c r="D458" i="4" s="1"/>
  <c r="H458" i="4" s="1"/>
  <c r="B458" i="4"/>
  <c r="K222" i="4" l="1"/>
  <c r="E223" i="4" s="1"/>
  <c r="J222" i="4"/>
  <c r="I222" i="4"/>
  <c r="H222" i="4"/>
  <c r="G222" i="4"/>
  <c r="D222" i="4"/>
  <c r="O222" i="4"/>
  <c r="M222" i="4"/>
  <c r="F222" i="4"/>
  <c r="A222" i="4"/>
  <c r="N222" i="4"/>
  <c r="L222" i="4"/>
  <c r="C222" i="4"/>
  <c r="B222" i="4"/>
  <c r="O1175" i="4"/>
  <c r="M1175" i="4"/>
  <c r="F458" i="4"/>
  <c r="A798" i="4"/>
  <c r="M798" i="4"/>
  <c r="C798" i="4"/>
  <c r="D798" i="4" s="1"/>
  <c r="H798" i="4" s="1"/>
  <c r="B798" i="4"/>
  <c r="F1176" i="4" l="1"/>
  <c r="G1176" i="4" s="1"/>
  <c r="F223" i="4"/>
  <c r="D223" i="4"/>
  <c r="C223" i="4"/>
  <c r="B223" i="4"/>
  <c r="N223" i="4"/>
  <c r="A223" i="4"/>
  <c r="I223" i="4"/>
  <c r="H223" i="4"/>
  <c r="O223" i="4"/>
  <c r="M223" i="4"/>
  <c r="L223" i="4"/>
  <c r="K223" i="4"/>
  <c r="E224" i="4" s="1"/>
  <c r="J223" i="4"/>
  <c r="G223" i="4"/>
  <c r="F798" i="4"/>
  <c r="G798" i="4" s="1"/>
  <c r="G458" i="4"/>
  <c r="J458" i="4" s="1"/>
  <c r="O1176" i="4" l="1"/>
  <c r="J1176" i="4"/>
  <c r="B224" i="4"/>
  <c r="M224" i="4"/>
  <c r="A224" i="4"/>
  <c r="F224" i="4"/>
  <c r="D224" i="4"/>
  <c r="J224" i="4"/>
  <c r="I224" i="4"/>
  <c r="H224" i="4"/>
  <c r="N224" i="4"/>
  <c r="K224" i="4"/>
  <c r="E225" i="4" s="1"/>
  <c r="O224" i="4"/>
  <c r="L224" i="4"/>
  <c r="G224" i="4"/>
  <c r="C224" i="4"/>
  <c r="L1176" i="4"/>
  <c r="I1176" i="4" s="1"/>
  <c r="K1176" i="4" s="1"/>
  <c r="L458" i="4"/>
  <c r="O458" i="4"/>
  <c r="I458" i="4"/>
  <c r="K458" i="4" s="1"/>
  <c r="L798" i="4"/>
  <c r="J798" i="4"/>
  <c r="I798" i="4"/>
  <c r="K798" i="4" s="1"/>
  <c r="O798" i="4"/>
  <c r="F225" i="4" l="1"/>
  <c r="D225" i="4"/>
  <c r="C225" i="4"/>
  <c r="A225" i="4"/>
  <c r="B225" i="4"/>
  <c r="L225" i="4"/>
  <c r="O225" i="4"/>
  <c r="N225" i="4"/>
  <c r="J225" i="4"/>
  <c r="I225" i="4"/>
  <c r="H225" i="4"/>
  <c r="G225" i="4"/>
  <c r="K225" i="4"/>
  <c r="E226" i="4" s="1"/>
  <c r="M225" i="4"/>
  <c r="E1177" i="4"/>
  <c r="N1176" i="4"/>
  <c r="E459" i="4"/>
  <c r="N458" i="4"/>
  <c r="E799" i="4"/>
  <c r="N798" i="4"/>
  <c r="K226" i="4" l="1"/>
  <c r="E227" i="4" s="1"/>
  <c r="D226" i="4"/>
  <c r="A226" i="4"/>
  <c r="J226" i="4"/>
  <c r="G226" i="4"/>
  <c r="F226" i="4"/>
  <c r="O226" i="4"/>
  <c r="N226" i="4"/>
  <c r="L226" i="4"/>
  <c r="H226" i="4"/>
  <c r="M226" i="4"/>
  <c r="I226" i="4"/>
  <c r="C226" i="4"/>
  <c r="B226" i="4"/>
  <c r="K1177" i="4"/>
  <c r="E1178" i="4" s="1"/>
  <c r="I1177" i="4"/>
  <c r="N1177" i="4"/>
  <c r="C1177" i="4"/>
  <c r="D1177" i="4"/>
  <c r="H1177" i="4" s="1"/>
  <c r="L1177" i="4"/>
  <c r="B1177" i="4"/>
  <c r="A1177" i="4"/>
  <c r="A799" i="4"/>
  <c r="C799" i="4"/>
  <c r="D799" i="4" s="1"/>
  <c r="H799" i="4" s="1"/>
  <c r="B799" i="4"/>
  <c r="M799" i="4"/>
  <c r="A459" i="4"/>
  <c r="M459" i="4"/>
  <c r="C459" i="4"/>
  <c r="D459" i="4" s="1"/>
  <c r="H459" i="4" s="1"/>
  <c r="B459" i="4"/>
  <c r="F1177" i="4" l="1"/>
  <c r="G1177" i="4" s="1"/>
  <c r="C1178" i="4"/>
  <c r="D1178" i="4"/>
  <c r="H1178" i="4" s="1"/>
  <c r="B1178" i="4"/>
  <c r="M1178" i="4"/>
  <c r="A1178" i="4"/>
  <c r="K227" i="4"/>
  <c r="E228" i="4" s="1"/>
  <c r="F227" i="4"/>
  <c r="A227" i="4"/>
  <c r="I227" i="4"/>
  <c r="D227" i="4"/>
  <c r="B227" i="4"/>
  <c r="J227" i="4"/>
  <c r="G227" i="4"/>
  <c r="O227" i="4"/>
  <c r="L227" i="4"/>
  <c r="H227" i="4"/>
  <c r="C227" i="4"/>
  <c r="N227" i="4"/>
  <c r="M227" i="4"/>
  <c r="F459" i="4"/>
  <c r="F799" i="4"/>
  <c r="L228" i="4" l="1"/>
  <c r="K228" i="4"/>
  <c r="E229" i="4" s="1"/>
  <c r="G228" i="4"/>
  <c r="D228" i="4"/>
  <c r="I228" i="4"/>
  <c r="A228" i="4"/>
  <c r="N228" i="4"/>
  <c r="J228" i="4"/>
  <c r="C228" i="4"/>
  <c r="O228" i="4"/>
  <c r="H228" i="4"/>
  <c r="F228" i="4"/>
  <c r="B228" i="4"/>
  <c r="M228" i="4"/>
  <c r="J1177" i="4"/>
  <c r="O1177" i="4"/>
  <c r="M1177" i="4"/>
  <c r="G799" i="4"/>
  <c r="O799" i="4" s="1"/>
  <c r="G459" i="4"/>
  <c r="L459" i="4" s="1"/>
  <c r="G229" i="4" l="1"/>
  <c r="F229" i="4"/>
  <c r="D229" i="4"/>
  <c r="O229" i="4"/>
  <c r="K229" i="4"/>
  <c r="E230" i="4" s="1"/>
  <c r="I229" i="4"/>
  <c r="H229" i="4"/>
  <c r="N229" i="4"/>
  <c r="C229" i="4"/>
  <c r="B229" i="4"/>
  <c r="A229" i="4"/>
  <c r="M229" i="4"/>
  <c r="L229" i="4"/>
  <c r="J229" i="4"/>
  <c r="F1178" i="4"/>
  <c r="G1178" i="4"/>
  <c r="J799" i="4"/>
  <c r="J459" i="4"/>
  <c r="I799" i="4"/>
  <c r="K799" i="4" s="1"/>
  <c r="O459" i="4"/>
  <c r="I459" i="4"/>
  <c r="K459" i="4" s="1"/>
  <c r="L799" i="4"/>
  <c r="J230" i="4" l="1"/>
  <c r="H230" i="4"/>
  <c r="G230" i="4"/>
  <c r="F230" i="4"/>
  <c r="C230" i="4"/>
  <c r="B230" i="4"/>
  <c r="O230" i="4"/>
  <c r="I230" i="4"/>
  <c r="N230" i="4"/>
  <c r="K230" i="4"/>
  <c r="E231" i="4" s="1"/>
  <c r="D230" i="4"/>
  <c r="A230" i="4"/>
  <c r="M230" i="4"/>
  <c r="L230" i="4"/>
  <c r="O1178" i="4"/>
  <c r="J1178" i="4"/>
  <c r="L1178" i="4"/>
  <c r="I1178" i="4" s="1"/>
  <c r="K1178" i="4" s="1"/>
  <c r="E460" i="4"/>
  <c r="N459" i="4"/>
  <c r="E800" i="4"/>
  <c r="N799" i="4"/>
  <c r="E1179" i="4" l="1"/>
  <c r="N1178" i="4"/>
  <c r="N231" i="4"/>
  <c r="C231" i="4"/>
  <c r="I231" i="4"/>
  <c r="H231" i="4"/>
  <c r="K231" i="4"/>
  <c r="E232" i="4" s="1"/>
  <c r="L231" i="4"/>
  <c r="F231" i="4"/>
  <c r="D231" i="4"/>
  <c r="G231" i="4"/>
  <c r="B231" i="4"/>
  <c r="A231" i="4"/>
  <c r="O231" i="4"/>
  <c r="M231" i="4"/>
  <c r="J231" i="4"/>
  <c r="C800" i="4"/>
  <c r="D800" i="4"/>
  <c r="H800" i="4" s="1"/>
  <c r="B800" i="4"/>
  <c r="A800" i="4"/>
  <c r="M800" i="4"/>
  <c r="C460" i="4"/>
  <c r="D460" i="4" s="1"/>
  <c r="H460" i="4" s="1"/>
  <c r="A460" i="4"/>
  <c r="M460" i="4"/>
  <c r="B460" i="4"/>
  <c r="M232" i="4" l="1"/>
  <c r="L232" i="4"/>
  <c r="D232" i="4"/>
  <c r="B232" i="4"/>
  <c r="H232" i="4"/>
  <c r="A232" i="4"/>
  <c r="K232" i="4"/>
  <c r="E233" i="4" s="1"/>
  <c r="C232" i="4"/>
  <c r="J232" i="4"/>
  <c r="I232" i="4"/>
  <c r="G232" i="4"/>
  <c r="F232" i="4"/>
  <c r="N232" i="4"/>
  <c r="O232" i="4"/>
  <c r="L1179" i="4"/>
  <c r="A1179" i="4"/>
  <c r="K1179" i="4"/>
  <c r="E1180" i="4" s="1"/>
  <c r="C1179" i="4"/>
  <c r="B1179" i="4"/>
  <c r="I1179" i="4"/>
  <c r="D1179" i="4"/>
  <c r="H1179" i="4" s="1"/>
  <c r="N1179" i="4"/>
  <c r="F460" i="4"/>
  <c r="F800" i="4"/>
  <c r="G800" i="4" s="1"/>
  <c r="F1179" i="4" l="1"/>
  <c r="G1179" i="4" s="1"/>
  <c r="I233" i="4"/>
  <c r="G233" i="4"/>
  <c r="J233" i="4"/>
  <c r="H233" i="4"/>
  <c r="F233" i="4"/>
  <c r="N233" i="4"/>
  <c r="K233" i="4"/>
  <c r="E234" i="4" s="1"/>
  <c r="L233" i="4"/>
  <c r="D233" i="4"/>
  <c r="M233" i="4"/>
  <c r="C233" i="4"/>
  <c r="O233" i="4"/>
  <c r="B233" i="4"/>
  <c r="A233" i="4"/>
  <c r="C1180" i="4"/>
  <c r="D1180" i="4" s="1"/>
  <c r="H1180" i="4" s="1"/>
  <c r="A1180" i="4"/>
  <c r="B1180" i="4"/>
  <c r="M1180" i="4"/>
  <c r="I800" i="4"/>
  <c r="K800" i="4" s="1"/>
  <c r="J800" i="4"/>
  <c r="O800" i="4"/>
  <c r="L800" i="4"/>
  <c r="G460" i="4"/>
  <c r="L460" i="4" s="1"/>
  <c r="H234" i="4" l="1"/>
  <c r="F234" i="4"/>
  <c r="D234" i="4"/>
  <c r="A234" i="4"/>
  <c r="M234" i="4"/>
  <c r="K234" i="4"/>
  <c r="E235" i="4" s="1"/>
  <c r="G234" i="4"/>
  <c r="C234" i="4"/>
  <c r="N234" i="4"/>
  <c r="L234" i="4"/>
  <c r="J234" i="4"/>
  <c r="B234" i="4"/>
  <c r="I234" i="4"/>
  <c r="O234" i="4"/>
  <c r="J1179" i="4"/>
  <c r="M1179" i="4"/>
  <c r="O1179" i="4"/>
  <c r="J460" i="4"/>
  <c r="O460" i="4"/>
  <c r="I460" i="4"/>
  <c r="K460" i="4" s="1"/>
  <c r="E801" i="4"/>
  <c r="N800" i="4"/>
  <c r="H235" i="4" l="1"/>
  <c r="N235" i="4"/>
  <c r="J235" i="4"/>
  <c r="F235" i="4"/>
  <c r="L235" i="4"/>
  <c r="I235" i="4"/>
  <c r="D235" i="4"/>
  <c r="O235" i="4"/>
  <c r="C235" i="4"/>
  <c r="K235" i="4"/>
  <c r="E236" i="4" s="1"/>
  <c r="B235" i="4"/>
  <c r="A235" i="4"/>
  <c r="M235" i="4"/>
  <c r="G235" i="4"/>
  <c r="F1180" i="4"/>
  <c r="M801" i="4"/>
  <c r="C801" i="4"/>
  <c r="D801" i="4" s="1"/>
  <c r="H801" i="4" s="1"/>
  <c r="B801" i="4"/>
  <c r="A801" i="4"/>
  <c r="E461" i="4"/>
  <c r="N460" i="4"/>
  <c r="J236" i="4" l="1"/>
  <c r="G236" i="4"/>
  <c r="D236" i="4"/>
  <c r="C236" i="4"/>
  <c r="F236" i="4"/>
  <c r="H236" i="4"/>
  <c r="O236" i="4"/>
  <c r="L236" i="4"/>
  <c r="B236" i="4"/>
  <c r="M236" i="4"/>
  <c r="K236" i="4"/>
  <c r="E237" i="4" s="1"/>
  <c r="I236" i="4"/>
  <c r="N236" i="4"/>
  <c r="A236" i="4"/>
  <c r="G1180" i="4"/>
  <c r="J1180" i="4" s="1"/>
  <c r="L1180" i="4"/>
  <c r="I1180" i="4" s="1"/>
  <c r="K1180" i="4" s="1"/>
  <c r="F801" i="4"/>
  <c r="G801" i="4" s="1"/>
  <c r="C461" i="4"/>
  <c r="D461" i="4" s="1"/>
  <c r="H461" i="4" s="1"/>
  <c r="B461" i="4"/>
  <c r="A461" i="4"/>
  <c r="M461" i="4"/>
  <c r="E1181" i="4" l="1"/>
  <c r="N1180" i="4"/>
  <c r="O237" i="4"/>
  <c r="J237" i="4"/>
  <c r="I237" i="4"/>
  <c r="A237" i="4"/>
  <c r="L237" i="4"/>
  <c r="H237" i="4"/>
  <c r="F237" i="4"/>
  <c r="N237" i="4"/>
  <c r="M237" i="4"/>
  <c r="K237" i="4"/>
  <c r="E238" i="4" s="1"/>
  <c r="B237" i="4"/>
  <c r="G237" i="4"/>
  <c r="D237" i="4"/>
  <c r="C237" i="4"/>
  <c r="O1180" i="4"/>
  <c r="F461" i="4"/>
  <c r="G461" i="4" s="1"/>
  <c r="L801" i="4"/>
  <c r="J801" i="4"/>
  <c r="I801" i="4"/>
  <c r="K801" i="4" s="1"/>
  <c r="O801" i="4"/>
  <c r="M238" i="4" l="1"/>
  <c r="L238" i="4"/>
  <c r="F238" i="4"/>
  <c r="D238" i="4"/>
  <c r="C238" i="4"/>
  <c r="K238" i="4"/>
  <c r="E239" i="4" s="1"/>
  <c r="J238" i="4"/>
  <c r="G238" i="4"/>
  <c r="B238" i="4"/>
  <c r="N238" i="4"/>
  <c r="I238" i="4"/>
  <c r="H238" i="4"/>
  <c r="A238" i="4"/>
  <c r="O238" i="4"/>
  <c r="C1181" i="4"/>
  <c r="B1181" i="4"/>
  <c r="A1181" i="4"/>
  <c r="N1181" i="4"/>
  <c r="I1181" i="4"/>
  <c r="L1181" i="4"/>
  <c r="D1181" i="4"/>
  <c r="H1181" i="4" s="1"/>
  <c r="K1181" i="4"/>
  <c r="E1182" i="4" s="1"/>
  <c r="E802" i="4"/>
  <c r="N801" i="4"/>
  <c r="L461" i="4"/>
  <c r="I461" i="4"/>
  <c r="K461" i="4" s="1"/>
  <c r="J461" i="4"/>
  <c r="O461" i="4"/>
  <c r="F1181" i="4" l="1"/>
  <c r="B1182" i="4"/>
  <c r="C1182" i="4"/>
  <c r="D1182" i="4" s="1"/>
  <c r="H1182" i="4" s="1"/>
  <c r="M1182" i="4"/>
  <c r="A1182" i="4"/>
  <c r="H239" i="4"/>
  <c r="F239" i="4"/>
  <c r="C239" i="4"/>
  <c r="A239" i="4"/>
  <c r="O239" i="4"/>
  <c r="B239" i="4"/>
  <c r="I239" i="4"/>
  <c r="G239" i="4"/>
  <c r="D239" i="4"/>
  <c r="K239" i="4"/>
  <c r="E240" i="4" s="1"/>
  <c r="M239" i="4"/>
  <c r="L239" i="4"/>
  <c r="N239" i="4"/>
  <c r="J239" i="4"/>
  <c r="E462" i="4"/>
  <c r="N461" i="4"/>
  <c r="C802" i="4"/>
  <c r="D802" i="4" s="1"/>
  <c r="H802" i="4" s="1"/>
  <c r="M802" i="4"/>
  <c r="B802" i="4"/>
  <c r="A802" i="4"/>
  <c r="M240" i="4" l="1"/>
  <c r="L240" i="4"/>
  <c r="G240" i="4"/>
  <c r="F240" i="4"/>
  <c r="A240" i="4"/>
  <c r="J240" i="4"/>
  <c r="H240" i="4"/>
  <c r="N240" i="4"/>
  <c r="I240" i="4"/>
  <c r="C240" i="4"/>
  <c r="K240" i="4"/>
  <c r="E241" i="4" s="1"/>
  <c r="O240" i="4"/>
  <c r="D240" i="4"/>
  <c r="B240" i="4"/>
  <c r="G1181" i="4"/>
  <c r="O1181" i="4" s="1"/>
  <c r="F802" i="4"/>
  <c r="M462" i="4"/>
  <c r="C462" i="4"/>
  <c r="D462" i="4" s="1"/>
  <c r="H462" i="4" s="1"/>
  <c r="B462" i="4"/>
  <c r="A462" i="4"/>
  <c r="J1181" i="4" l="1"/>
  <c r="K241" i="4"/>
  <c r="E242" i="4" s="1"/>
  <c r="F241" i="4"/>
  <c r="C241" i="4"/>
  <c r="I241" i="4"/>
  <c r="G241" i="4"/>
  <c r="A241" i="4"/>
  <c r="H241" i="4"/>
  <c r="B241" i="4"/>
  <c r="J241" i="4"/>
  <c r="N241" i="4"/>
  <c r="M241" i="4"/>
  <c r="L241" i="4"/>
  <c r="D241" i="4"/>
  <c r="O241" i="4"/>
  <c r="M1181" i="4"/>
  <c r="F462" i="4"/>
  <c r="G802" i="4"/>
  <c r="J802" i="4" s="1"/>
  <c r="J242" i="4" l="1"/>
  <c r="A242" i="4"/>
  <c r="L242" i="4"/>
  <c r="K242" i="4"/>
  <c r="E243" i="4" s="1"/>
  <c r="D242" i="4"/>
  <c r="N242" i="4"/>
  <c r="G242" i="4"/>
  <c r="I242" i="4"/>
  <c r="H242" i="4"/>
  <c r="F242" i="4"/>
  <c r="C242" i="4"/>
  <c r="B242" i="4"/>
  <c r="O242" i="4"/>
  <c r="M242" i="4"/>
  <c r="F1182" i="4"/>
  <c r="I802" i="4"/>
  <c r="K802" i="4" s="1"/>
  <c r="O802" i="4"/>
  <c r="L802" i="4"/>
  <c r="G462" i="4"/>
  <c r="I462" i="4" s="1"/>
  <c r="K462" i="4" s="1"/>
  <c r="M243" i="4" l="1"/>
  <c r="N243" i="4"/>
  <c r="L243" i="4"/>
  <c r="K243" i="4"/>
  <c r="E244" i="4" s="1"/>
  <c r="J243" i="4"/>
  <c r="H243" i="4"/>
  <c r="F243" i="4"/>
  <c r="D243" i="4"/>
  <c r="C243" i="4"/>
  <c r="I243" i="4"/>
  <c r="G243" i="4"/>
  <c r="B243" i="4"/>
  <c r="A243" i="4"/>
  <c r="O243" i="4"/>
  <c r="G1182" i="4"/>
  <c r="J1182" i="4" s="1"/>
  <c r="E463" i="4"/>
  <c r="N462" i="4"/>
  <c r="O462" i="4"/>
  <c r="L462" i="4"/>
  <c r="J462" i="4"/>
  <c r="E803" i="4"/>
  <c r="N802" i="4"/>
  <c r="L244" i="4" l="1"/>
  <c r="N244" i="4"/>
  <c r="D244" i="4"/>
  <c r="K244" i="4"/>
  <c r="E245" i="4" s="1"/>
  <c r="I244" i="4"/>
  <c r="B244" i="4"/>
  <c r="A244" i="4"/>
  <c r="O244" i="4"/>
  <c r="J244" i="4"/>
  <c r="H244" i="4"/>
  <c r="C244" i="4"/>
  <c r="M244" i="4"/>
  <c r="G244" i="4"/>
  <c r="F244" i="4"/>
  <c r="L1182" i="4"/>
  <c r="I1182" i="4" s="1"/>
  <c r="K1182" i="4" s="1"/>
  <c r="O1182" i="4"/>
  <c r="C803" i="4"/>
  <c r="B803" i="4"/>
  <c r="A803" i="4"/>
  <c r="M803" i="4"/>
  <c r="D803" i="4"/>
  <c r="H803" i="4" s="1"/>
  <c r="C463" i="4"/>
  <c r="D463" i="4" s="1"/>
  <c r="H463" i="4" s="1"/>
  <c r="M463" i="4"/>
  <c r="A463" i="4"/>
  <c r="B463" i="4"/>
  <c r="D245" i="4" l="1"/>
  <c r="C245" i="4"/>
  <c r="N245" i="4"/>
  <c r="M245" i="4"/>
  <c r="K245" i="4"/>
  <c r="E246" i="4" s="1"/>
  <c r="J245" i="4"/>
  <c r="O245" i="4"/>
  <c r="L245" i="4"/>
  <c r="I245" i="4"/>
  <c r="H245" i="4"/>
  <c r="G245" i="4"/>
  <c r="A245" i="4"/>
  <c r="F245" i="4"/>
  <c r="B245" i="4"/>
  <c r="E1183" i="4"/>
  <c r="N1182" i="4"/>
  <c r="F803" i="4"/>
  <c r="F463" i="4"/>
  <c r="G463" i="4" s="1"/>
  <c r="H246" i="4" l="1"/>
  <c r="F246" i="4"/>
  <c r="A246" i="4"/>
  <c r="D246" i="4"/>
  <c r="N246" i="4"/>
  <c r="J246" i="4"/>
  <c r="B246" i="4"/>
  <c r="O246" i="4"/>
  <c r="M246" i="4"/>
  <c r="I246" i="4"/>
  <c r="G246" i="4"/>
  <c r="C246" i="4"/>
  <c r="L246" i="4"/>
  <c r="K246" i="4"/>
  <c r="E247" i="4" s="1"/>
  <c r="N1183" i="4"/>
  <c r="L1183" i="4"/>
  <c r="K1183" i="4"/>
  <c r="E1184" i="4" s="1"/>
  <c r="I1183" i="4"/>
  <c r="A1183" i="4"/>
  <c r="C1183" i="4"/>
  <c r="D1183" i="4" s="1"/>
  <c r="H1183" i="4" s="1"/>
  <c r="B1183" i="4"/>
  <c r="J463" i="4"/>
  <c r="O463" i="4"/>
  <c r="L463" i="4"/>
  <c r="I463" i="4"/>
  <c r="K463" i="4" s="1"/>
  <c r="G803" i="4"/>
  <c r="J803" i="4" s="1"/>
  <c r="F1183" i="4" l="1"/>
  <c r="G1183" i="4"/>
  <c r="M247" i="4"/>
  <c r="L247" i="4"/>
  <c r="J247" i="4"/>
  <c r="G247" i="4"/>
  <c r="A247" i="4"/>
  <c r="C247" i="4"/>
  <c r="B247" i="4"/>
  <c r="K247" i="4"/>
  <c r="E248" i="4" s="1"/>
  <c r="I247" i="4"/>
  <c r="H247" i="4"/>
  <c r="D247" i="4"/>
  <c r="F247" i="4"/>
  <c r="N247" i="4"/>
  <c r="O247" i="4"/>
  <c r="B1184" i="4"/>
  <c r="A1184" i="4"/>
  <c r="M1184" i="4"/>
  <c r="C1184" i="4"/>
  <c r="D1184" i="4" s="1"/>
  <c r="H1184" i="4" s="1"/>
  <c r="O803" i="4"/>
  <c r="L803" i="4"/>
  <c r="I803" i="4"/>
  <c r="K803" i="4" s="1"/>
  <c r="E464" i="4"/>
  <c r="N463" i="4"/>
  <c r="D248" i="4" l="1"/>
  <c r="M248" i="4"/>
  <c r="K248" i="4"/>
  <c r="E249" i="4" s="1"/>
  <c r="J248" i="4"/>
  <c r="L248" i="4"/>
  <c r="H248" i="4"/>
  <c r="O248" i="4"/>
  <c r="N248" i="4"/>
  <c r="I248" i="4"/>
  <c r="C248" i="4"/>
  <c r="B248" i="4"/>
  <c r="F248" i="4"/>
  <c r="A248" i="4"/>
  <c r="G248" i="4"/>
  <c r="J1183" i="4"/>
  <c r="M1183" i="4"/>
  <c r="O1183" i="4"/>
  <c r="C464" i="4"/>
  <c r="D464" i="4" s="1"/>
  <c r="H464" i="4" s="1"/>
  <c r="B464" i="4"/>
  <c r="A464" i="4"/>
  <c r="M464" i="4"/>
  <c r="E804" i="4"/>
  <c r="N803" i="4"/>
  <c r="F1184" i="4" l="1"/>
  <c r="D249" i="4"/>
  <c r="C249" i="4"/>
  <c r="B249" i="4"/>
  <c r="G249" i="4"/>
  <c r="O249" i="4"/>
  <c r="A249" i="4"/>
  <c r="N249" i="4"/>
  <c r="M249" i="4"/>
  <c r="L249" i="4"/>
  <c r="K249" i="4"/>
  <c r="E250" i="4" s="1"/>
  <c r="J249" i="4"/>
  <c r="H249" i="4"/>
  <c r="F249" i="4"/>
  <c r="I249" i="4"/>
  <c r="F464" i="4"/>
  <c r="G464" i="4" s="1"/>
  <c r="B804" i="4"/>
  <c r="A804" i="4"/>
  <c r="C804" i="4"/>
  <c r="D804" i="4" s="1"/>
  <c r="H804" i="4" s="1"/>
  <c r="M804" i="4"/>
  <c r="O250" i="4" l="1"/>
  <c r="A250" i="4"/>
  <c r="M250" i="4"/>
  <c r="L250" i="4"/>
  <c r="J250" i="4"/>
  <c r="B250" i="4"/>
  <c r="N250" i="4"/>
  <c r="K250" i="4"/>
  <c r="E251" i="4" s="1"/>
  <c r="F250" i="4"/>
  <c r="D250" i="4"/>
  <c r="C250" i="4"/>
  <c r="I250" i="4"/>
  <c r="H250" i="4"/>
  <c r="G250" i="4"/>
  <c r="G1184" i="4"/>
  <c r="J1184" i="4" s="1"/>
  <c r="F804" i="4"/>
  <c r="G804" i="4" s="1"/>
  <c r="J464" i="4"/>
  <c r="I464" i="4"/>
  <c r="K464" i="4" s="1"/>
  <c r="O464" i="4"/>
  <c r="L464" i="4"/>
  <c r="J251" i="4" l="1"/>
  <c r="H251" i="4"/>
  <c r="I251" i="4"/>
  <c r="F251" i="4"/>
  <c r="N251" i="4"/>
  <c r="L251" i="4"/>
  <c r="O251" i="4"/>
  <c r="G251" i="4"/>
  <c r="C251" i="4"/>
  <c r="B251" i="4"/>
  <c r="M251" i="4"/>
  <c r="K251" i="4"/>
  <c r="E252" i="4" s="1"/>
  <c r="D251" i="4"/>
  <c r="A251" i="4"/>
  <c r="O1184" i="4"/>
  <c r="L1184" i="4"/>
  <c r="I1184" i="4" s="1"/>
  <c r="K1184" i="4" s="1"/>
  <c r="E465" i="4"/>
  <c r="N464" i="4"/>
  <c r="L804" i="4"/>
  <c r="I804" i="4"/>
  <c r="K804" i="4" s="1"/>
  <c r="J804" i="4"/>
  <c r="O804" i="4"/>
  <c r="I252" i="4" l="1"/>
  <c r="H252" i="4"/>
  <c r="G252" i="4"/>
  <c r="D252" i="4"/>
  <c r="C252" i="4"/>
  <c r="M252" i="4"/>
  <c r="L252" i="4"/>
  <c r="K252" i="4"/>
  <c r="E253" i="4" s="1"/>
  <c r="J252" i="4"/>
  <c r="F252" i="4"/>
  <c r="B252" i="4"/>
  <c r="A252" i="4"/>
  <c r="O252" i="4"/>
  <c r="N252" i="4"/>
  <c r="E1185" i="4"/>
  <c r="N1184" i="4"/>
  <c r="E805" i="4"/>
  <c r="N804" i="4"/>
  <c r="C465" i="4"/>
  <c r="D465" i="4" s="1"/>
  <c r="H465" i="4" s="1"/>
  <c r="B465" i="4"/>
  <c r="A465" i="4"/>
  <c r="M465" i="4"/>
  <c r="C253" i="4" l="1"/>
  <c r="B253" i="4"/>
  <c r="A253" i="4"/>
  <c r="K253" i="4"/>
  <c r="E254" i="4" s="1"/>
  <c r="M253" i="4"/>
  <c r="H253" i="4"/>
  <c r="I253" i="4"/>
  <c r="G253" i="4"/>
  <c r="F253" i="4"/>
  <c r="D253" i="4"/>
  <c r="L253" i="4"/>
  <c r="O253" i="4"/>
  <c r="J253" i="4"/>
  <c r="N253" i="4"/>
  <c r="H1185" i="4"/>
  <c r="D1185" i="4"/>
  <c r="K1185" i="4"/>
  <c r="E1186" i="4" s="1"/>
  <c r="F1185" i="4"/>
  <c r="B1185" i="4"/>
  <c r="C1185" i="4"/>
  <c r="G1185" i="4"/>
  <c r="M1185" i="4"/>
  <c r="L1185" i="4"/>
  <c r="J1185" i="4"/>
  <c r="I1185" i="4"/>
  <c r="A1185" i="4"/>
  <c r="O1185" i="4"/>
  <c r="N1185" i="4"/>
  <c r="F465" i="4"/>
  <c r="A805" i="4"/>
  <c r="C805" i="4"/>
  <c r="B805" i="4"/>
  <c r="D805" i="4"/>
  <c r="H805" i="4" s="1"/>
  <c r="M805" i="4"/>
  <c r="G254" i="4" l="1"/>
  <c r="C254" i="4"/>
  <c r="A254" i="4"/>
  <c r="K254" i="4"/>
  <c r="E255" i="4" s="1"/>
  <c r="I254" i="4"/>
  <c r="H254" i="4"/>
  <c r="F254" i="4"/>
  <c r="D254" i="4"/>
  <c r="J254" i="4"/>
  <c r="O254" i="4"/>
  <c r="M254" i="4"/>
  <c r="N254" i="4"/>
  <c r="B254" i="4"/>
  <c r="L254" i="4"/>
  <c r="I1186" i="4"/>
  <c r="D1186" i="4"/>
  <c r="J1186" i="4"/>
  <c r="B1186" i="4"/>
  <c r="H1186" i="4"/>
  <c r="C1186" i="4"/>
  <c r="O1186" i="4"/>
  <c r="N1186" i="4"/>
  <c r="G1186" i="4"/>
  <c r="L1186" i="4"/>
  <c r="K1186" i="4"/>
  <c r="E1187" i="4" s="1"/>
  <c r="F1186" i="4"/>
  <c r="A1186" i="4"/>
  <c r="M1186" i="4"/>
  <c r="F805" i="4"/>
  <c r="G805" i="4" s="1"/>
  <c r="G465" i="4"/>
  <c r="J465" i="4" s="1"/>
  <c r="M1187" i="4" l="1"/>
  <c r="F1187" i="4"/>
  <c r="L1187" i="4"/>
  <c r="B1187" i="4"/>
  <c r="C1187" i="4"/>
  <c r="K1187" i="4"/>
  <c r="E1188" i="4" s="1"/>
  <c r="G1187" i="4"/>
  <c r="J1187" i="4"/>
  <c r="H1187" i="4"/>
  <c r="I1187" i="4"/>
  <c r="D1187" i="4"/>
  <c r="A1187" i="4"/>
  <c r="O1187" i="4"/>
  <c r="N1187" i="4"/>
  <c r="C255" i="4"/>
  <c r="I255" i="4"/>
  <c r="G255" i="4"/>
  <c r="M255" i="4"/>
  <c r="J255" i="4"/>
  <c r="H255" i="4"/>
  <c r="A255" i="4"/>
  <c r="O255" i="4"/>
  <c r="L255" i="4"/>
  <c r="D255" i="4"/>
  <c r="N255" i="4"/>
  <c r="F255" i="4"/>
  <c r="K255" i="4"/>
  <c r="E256" i="4" s="1"/>
  <c r="B255" i="4"/>
  <c r="I465" i="4"/>
  <c r="K465" i="4" s="1"/>
  <c r="O465" i="4"/>
  <c r="L465" i="4"/>
  <c r="L805" i="4"/>
  <c r="O805" i="4"/>
  <c r="I805" i="4"/>
  <c r="K805" i="4" s="1"/>
  <c r="J805" i="4"/>
  <c r="N256" i="4" l="1"/>
  <c r="K256" i="4"/>
  <c r="E257" i="4" s="1"/>
  <c r="J256" i="4"/>
  <c r="F256" i="4"/>
  <c r="O256" i="4"/>
  <c r="L256" i="4"/>
  <c r="I256" i="4"/>
  <c r="C256" i="4"/>
  <c r="M256" i="4"/>
  <c r="B256" i="4"/>
  <c r="A256" i="4"/>
  <c r="H256" i="4"/>
  <c r="G256" i="4"/>
  <c r="D256" i="4"/>
  <c r="L1188" i="4"/>
  <c r="K1188" i="4"/>
  <c r="E1189" i="4" s="1"/>
  <c r="J1188" i="4"/>
  <c r="I1188" i="4"/>
  <c r="F1188" i="4"/>
  <c r="D1188" i="4"/>
  <c r="C1188" i="4"/>
  <c r="A1188" i="4"/>
  <c r="O1188" i="4"/>
  <c r="H1188" i="4"/>
  <c r="G1188" i="4"/>
  <c r="N1188" i="4"/>
  <c r="M1188" i="4"/>
  <c r="B1188" i="4"/>
  <c r="E806" i="4"/>
  <c r="N805" i="4"/>
  <c r="E466" i="4"/>
  <c r="N465" i="4"/>
  <c r="J1189" i="4" l="1"/>
  <c r="I1189" i="4"/>
  <c r="D1189" i="4"/>
  <c r="A1189" i="4"/>
  <c r="L1189" i="4"/>
  <c r="C1189" i="4"/>
  <c r="G1189" i="4"/>
  <c r="H1189" i="4"/>
  <c r="F1189" i="4"/>
  <c r="N1189" i="4"/>
  <c r="B1189" i="4"/>
  <c r="M1189" i="4"/>
  <c r="O1189" i="4"/>
  <c r="K1189" i="4"/>
  <c r="E1190" i="4" s="1"/>
  <c r="L257" i="4"/>
  <c r="K257" i="4"/>
  <c r="E258" i="4" s="1"/>
  <c r="I257" i="4"/>
  <c r="A257" i="4"/>
  <c r="M257" i="4"/>
  <c r="H257" i="4"/>
  <c r="F257" i="4"/>
  <c r="C257" i="4"/>
  <c r="B257" i="4"/>
  <c r="O257" i="4"/>
  <c r="J257" i="4"/>
  <c r="D257" i="4"/>
  <c r="N257" i="4"/>
  <c r="G257" i="4"/>
  <c r="C466" i="4"/>
  <c r="B466" i="4"/>
  <c r="A466" i="4"/>
  <c r="D466" i="4"/>
  <c r="H466" i="4" s="1"/>
  <c r="M466" i="4"/>
  <c r="M806" i="4"/>
  <c r="C806" i="4"/>
  <c r="D806" i="4" s="1"/>
  <c r="H806" i="4" s="1"/>
  <c r="B806" i="4"/>
  <c r="A806" i="4"/>
  <c r="F806" i="4" l="1"/>
  <c r="N1190" i="4"/>
  <c r="M1190" i="4"/>
  <c r="L1190" i="4"/>
  <c r="I1190" i="4"/>
  <c r="G1190" i="4"/>
  <c r="D1190" i="4"/>
  <c r="K1190" i="4"/>
  <c r="E1191" i="4" s="1"/>
  <c r="J1190" i="4"/>
  <c r="F1190" i="4"/>
  <c r="H1190" i="4"/>
  <c r="O1190" i="4"/>
  <c r="B1190" i="4"/>
  <c r="C1190" i="4"/>
  <c r="A1190" i="4"/>
  <c r="H258" i="4"/>
  <c r="B258" i="4"/>
  <c r="F258" i="4"/>
  <c r="M258" i="4"/>
  <c r="C258" i="4"/>
  <c r="G258" i="4"/>
  <c r="A258" i="4"/>
  <c r="D258" i="4"/>
  <c r="N258" i="4"/>
  <c r="I258" i="4"/>
  <c r="O258" i="4"/>
  <c r="L258" i="4"/>
  <c r="K258" i="4"/>
  <c r="E259" i="4" s="1"/>
  <c r="J258" i="4"/>
  <c r="F466" i="4"/>
  <c r="G466" i="4" s="1"/>
  <c r="J1191" i="4" l="1"/>
  <c r="H1191" i="4"/>
  <c r="B1191" i="4"/>
  <c r="I1191" i="4"/>
  <c r="D1191" i="4"/>
  <c r="N1191" i="4"/>
  <c r="C1191" i="4"/>
  <c r="A1191" i="4"/>
  <c r="O1191" i="4"/>
  <c r="M1191" i="4"/>
  <c r="G1191" i="4"/>
  <c r="L1191" i="4"/>
  <c r="K1191" i="4"/>
  <c r="E1192" i="4" s="1"/>
  <c r="F1191" i="4"/>
  <c r="I259" i="4"/>
  <c r="G259" i="4"/>
  <c r="F259" i="4"/>
  <c r="N259" i="4"/>
  <c r="J259" i="4"/>
  <c r="B259" i="4"/>
  <c r="O259" i="4"/>
  <c r="L259" i="4"/>
  <c r="K259" i="4"/>
  <c r="E260" i="4" s="1"/>
  <c r="A259" i="4"/>
  <c r="D259" i="4"/>
  <c r="C259" i="4"/>
  <c r="M259" i="4"/>
  <c r="H259" i="4"/>
  <c r="G806" i="4"/>
  <c r="I806" i="4" s="1"/>
  <c r="K806" i="4" s="1"/>
  <c r="L466" i="4"/>
  <c r="J466" i="4"/>
  <c r="O466" i="4"/>
  <c r="I466" i="4"/>
  <c r="K466" i="4" s="1"/>
  <c r="E807" i="4" l="1"/>
  <c r="N806" i="4"/>
  <c r="M260" i="4"/>
  <c r="K260" i="4"/>
  <c r="E261" i="4" s="1"/>
  <c r="I260" i="4"/>
  <c r="C260" i="4"/>
  <c r="B260" i="4"/>
  <c r="F260" i="4"/>
  <c r="O260" i="4"/>
  <c r="L260" i="4"/>
  <c r="J260" i="4"/>
  <c r="G260" i="4"/>
  <c r="H260" i="4"/>
  <c r="D260" i="4"/>
  <c r="A260" i="4"/>
  <c r="N260" i="4"/>
  <c r="A1192" i="4"/>
  <c r="F1192" i="4"/>
  <c r="N1192" i="4"/>
  <c r="K1192" i="4"/>
  <c r="E1193" i="4" s="1"/>
  <c r="D1192" i="4"/>
  <c r="H1192" i="4"/>
  <c r="G1192" i="4"/>
  <c r="B1192" i="4"/>
  <c r="O1192" i="4"/>
  <c r="L1192" i="4"/>
  <c r="J1192" i="4"/>
  <c r="I1192" i="4"/>
  <c r="C1192" i="4"/>
  <c r="M1192" i="4"/>
  <c r="L806" i="4"/>
  <c r="J806" i="4"/>
  <c r="O806" i="4"/>
  <c r="E467" i="4"/>
  <c r="N466" i="4"/>
  <c r="M261" i="4" l="1"/>
  <c r="D261" i="4"/>
  <c r="C261" i="4"/>
  <c r="H261" i="4"/>
  <c r="L261" i="4"/>
  <c r="B261" i="4"/>
  <c r="A261" i="4"/>
  <c r="J261" i="4"/>
  <c r="G261" i="4"/>
  <c r="F261" i="4"/>
  <c r="N261" i="4"/>
  <c r="K261" i="4"/>
  <c r="E262" i="4" s="1"/>
  <c r="O261" i="4"/>
  <c r="I261" i="4"/>
  <c r="I1193" i="4"/>
  <c r="D1193" i="4"/>
  <c r="H1193" i="4"/>
  <c r="B1193" i="4"/>
  <c r="O1193" i="4"/>
  <c r="N1193" i="4"/>
  <c r="F1193" i="4"/>
  <c r="L1193" i="4"/>
  <c r="C1193" i="4"/>
  <c r="G1193" i="4"/>
  <c r="M1193" i="4"/>
  <c r="J1193" i="4"/>
  <c r="A1193" i="4"/>
  <c r="K1193" i="4"/>
  <c r="E1194" i="4" s="1"/>
  <c r="M807" i="4"/>
  <c r="B807" i="4"/>
  <c r="A807" i="4"/>
  <c r="C807" i="4"/>
  <c r="D807" i="4" s="1"/>
  <c r="H807" i="4" s="1"/>
  <c r="B467" i="4"/>
  <c r="A467" i="4"/>
  <c r="M467" i="4"/>
  <c r="C467" i="4"/>
  <c r="D467" i="4" s="1"/>
  <c r="H467" i="4" s="1"/>
  <c r="F807" i="4" l="1"/>
  <c r="G807" i="4" s="1"/>
  <c r="J262" i="4"/>
  <c r="F262" i="4"/>
  <c r="O262" i="4"/>
  <c r="I262" i="4"/>
  <c r="H262" i="4"/>
  <c r="A262" i="4"/>
  <c r="L262" i="4"/>
  <c r="G262" i="4"/>
  <c r="N262" i="4"/>
  <c r="M262" i="4"/>
  <c r="K262" i="4"/>
  <c r="E263" i="4" s="1"/>
  <c r="D262" i="4"/>
  <c r="C262" i="4"/>
  <c r="B262" i="4"/>
  <c r="A1194" i="4"/>
  <c r="O1194" i="4"/>
  <c r="N1194" i="4"/>
  <c r="M1194" i="4"/>
  <c r="L1194" i="4"/>
  <c r="I1194" i="4"/>
  <c r="B1194" i="4"/>
  <c r="F1194" i="4"/>
  <c r="J1194" i="4"/>
  <c r="K1194" i="4"/>
  <c r="E1195" i="4" s="1"/>
  <c r="H1194" i="4"/>
  <c r="G1194" i="4"/>
  <c r="C1194" i="4"/>
  <c r="D1194" i="4"/>
  <c r="F467" i="4"/>
  <c r="G467" i="4" s="1"/>
  <c r="I1195" i="4" l="1"/>
  <c r="B1195" i="4"/>
  <c r="H1195" i="4"/>
  <c r="G1195" i="4"/>
  <c r="K1195" i="4"/>
  <c r="E1196" i="4" s="1"/>
  <c r="J1195" i="4"/>
  <c r="D1195" i="4"/>
  <c r="O1195" i="4"/>
  <c r="A1195" i="4"/>
  <c r="F1195" i="4"/>
  <c r="N1195" i="4"/>
  <c r="M1195" i="4"/>
  <c r="C1195" i="4"/>
  <c r="L1195" i="4"/>
  <c r="B263" i="4"/>
  <c r="O263" i="4"/>
  <c r="A263" i="4"/>
  <c r="N263" i="4"/>
  <c r="H263" i="4"/>
  <c r="F263" i="4"/>
  <c r="G263" i="4"/>
  <c r="M263" i="4"/>
  <c r="J263" i="4"/>
  <c r="I263" i="4"/>
  <c r="C263" i="4"/>
  <c r="L263" i="4"/>
  <c r="D263" i="4"/>
  <c r="K263" i="4"/>
  <c r="E264" i="4" s="1"/>
  <c r="I807" i="4"/>
  <c r="K807" i="4" s="1"/>
  <c r="O807" i="4"/>
  <c r="J807" i="4"/>
  <c r="L807" i="4"/>
  <c r="O467" i="4"/>
  <c r="L467" i="4"/>
  <c r="J467" i="4"/>
  <c r="I467" i="4"/>
  <c r="K467" i="4" s="1"/>
  <c r="J264" i="4" l="1"/>
  <c r="G264" i="4"/>
  <c r="F264" i="4"/>
  <c r="H264" i="4"/>
  <c r="A264" i="4"/>
  <c r="D264" i="4"/>
  <c r="C264" i="4"/>
  <c r="O264" i="4"/>
  <c r="N264" i="4"/>
  <c r="M264" i="4"/>
  <c r="B264" i="4"/>
  <c r="L264" i="4"/>
  <c r="K264" i="4"/>
  <c r="E265" i="4" s="1"/>
  <c r="I264" i="4"/>
  <c r="L1196" i="4"/>
  <c r="K1196" i="4"/>
  <c r="E1197" i="4" s="1"/>
  <c r="J1196" i="4"/>
  <c r="D1196" i="4"/>
  <c r="H1196" i="4"/>
  <c r="O1196" i="4"/>
  <c r="I1196" i="4"/>
  <c r="A1196" i="4"/>
  <c r="N1196" i="4"/>
  <c r="F1196" i="4"/>
  <c r="B1196" i="4"/>
  <c r="G1196" i="4"/>
  <c r="C1196" i="4"/>
  <c r="M1196" i="4"/>
  <c r="E808" i="4"/>
  <c r="N807" i="4"/>
  <c r="E468" i="4"/>
  <c r="N467" i="4"/>
  <c r="A265" i="4" l="1"/>
  <c r="O265" i="4"/>
  <c r="J265" i="4"/>
  <c r="I265" i="4"/>
  <c r="N265" i="4"/>
  <c r="H265" i="4"/>
  <c r="F265" i="4"/>
  <c r="M265" i="4"/>
  <c r="L265" i="4"/>
  <c r="K265" i="4"/>
  <c r="E266" i="4" s="1"/>
  <c r="G265" i="4"/>
  <c r="D265" i="4"/>
  <c r="C265" i="4"/>
  <c r="B265" i="4"/>
  <c r="O1197" i="4"/>
  <c r="N1197" i="4"/>
  <c r="L1197" i="4"/>
  <c r="K1197" i="4"/>
  <c r="E1198" i="4" s="1"/>
  <c r="J1197" i="4"/>
  <c r="M1197" i="4"/>
  <c r="C1197" i="4"/>
  <c r="I1197" i="4"/>
  <c r="D1197" i="4"/>
  <c r="B1197" i="4"/>
  <c r="A1197" i="4"/>
  <c r="H1197" i="4"/>
  <c r="F1197" i="4"/>
  <c r="G1197" i="4"/>
  <c r="A808" i="4"/>
  <c r="B808" i="4"/>
  <c r="M808" i="4"/>
  <c r="C808" i="4"/>
  <c r="D808" i="4" s="1"/>
  <c r="H808" i="4" s="1"/>
  <c r="A468" i="4"/>
  <c r="M468" i="4"/>
  <c r="C468" i="4"/>
  <c r="D468" i="4" s="1"/>
  <c r="H468" i="4" s="1"/>
  <c r="B468" i="4"/>
  <c r="F468" i="4" l="1"/>
  <c r="G468" i="4" s="1"/>
  <c r="F808" i="4"/>
  <c r="G808" i="4"/>
  <c r="F266" i="4"/>
  <c r="M266" i="4"/>
  <c r="K266" i="4"/>
  <c r="E267" i="4" s="1"/>
  <c r="J266" i="4"/>
  <c r="I266" i="4"/>
  <c r="H266" i="4"/>
  <c r="D266" i="4"/>
  <c r="A266" i="4"/>
  <c r="L266" i="4"/>
  <c r="N266" i="4"/>
  <c r="G266" i="4"/>
  <c r="C266" i="4"/>
  <c r="B266" i="4"/>
  <c r="O266" i="4"/>
  <c r="I1198" i="4"/>
  <c r="D1198" i="4"/>
  <c r="B1198" i="4"/>
  <c r="G1198" i="4"/>
  <c r="A1198" i="4"/>
  <c r="C1198" i="4"/>
  <c r="O1198" i="4"/>
  <c r="F1198" i="4"/>
  <c r="M1198" i="4"/>
  <c r="K1198" i="4"/>
  <c r="E1199" i="4" s="1"/>
  <c r="J1198" i="4"/>
  <c r="H1198" i="4"/>
  <c r="N1198" i="4"/>
  <c r="L1198" i="4"/>
  <c r="K1199" i="4" l="1"/>
  <c r="E1200" i="4" s="1"/>
  <c r="H1199" i="4"/>
  <c r="F1199" i="4"/>
  <c r="C1199" i="4"/>
  <c r="O1199" i="4"/>
  <c r="N1199" i="4"/>
  <c r="G1199" i="4"/>
  <c r="L1199" i="4"/>
  <c r="J1199" i="4"/>
  <c r="M1199" i="4"/>
  <c r="D1199" i="4"/>
  <c r="B1199" i="4"/>
  <c r="I1199" i="4"/>
  <c r="A1199" i="4"/>
  <c r="D267" i="4"/>
  <c r="B267" i="4"/>
  <c r="K267" i="4"/>
  <c r="E268" i="4" s="1"/>
  <c r="J267" i="4"/>
  <c r="N267" i="4"/>
  <c r="M267" i="4"/>
  <c r="G267" i="4"/>
  <c r="C267" i="4"/>
  <c r="I267" i="4"/>
  <c r="O267" i="4"/>
  <c r="A267" i="4"/>
  <c r="L267" i="4"/>
  <c r="H267" i="4"/>
  <c r="F267" i="4"/>
  <c r="L808" i="4"/>
  <c r="J808" i="4"/>
  <c r="I808" i="4"/>
  <c r="K808" i="4" s="1"/>
  <c r="O808" i="4"/>
  <c r="O468" i="4"/>
  <c r="I468" i="4"/>
  <c r="K468" i="4" s="1"/>
  <c r="L468" i="4"/>
  <c r="J468" i="4"/>
  <c r="E469" i="4" l="1"/>
  <c r="N468" i="4"/>
  <c r="N268" i="4"/>
  <c r="G268" i="4"/>
  <c r="L268" i="4"/>
  <c r="I268" i="4"/>
  <c r="H268" i="4"/>
  <c r="C268" i="4"/>
  <c r="A268" i="4"/>
  <c r="M268" i="4"/>
  <c r="F268" i="4"/>
  <c r="D268" i="4"/>
  <c r="J268" i="4"/>
  <c r="B268" i="4"/>
  <c r="O268" i="4"/>
  <c r="K268" i="4"/>
  <c r="E269" i="4" s="1"/>
  <c r="E809" i="4"/>
  <c r="N808" i="4"/>
  <c r="F1200" i="4"/>
  <c r="K1200" i="4"/>
  <c r="E1201" i="4" s="1"/>
  <c r="A1200" i="4"/>
  <c r="O1200" i="4"/>
  <c r="N1200" i="4"/>
  <c r="C1200" i="4"/>
  <c r="I1200" i="4"/>
  <c r="D1200" i="4"/>
  <c r="L1200" i="4"/>
  <c r="J1200" i="4"/>
  <c r="H1200" i="4"/>
  <c r="G1200" i="4"/>
  <c r="B1200" i="4"/>
  <c r="M1200" i="4"/>
  <c r="A809" i="4" l="1"/>
  <c r="C809" i="4"/>
  <c r="D809" i="4" s="1"/>
  <c r="H809" i="4" s="1"/>
  <c r="M809" i="4"/>
  <c r="B809" i="4"/>
  <c r="D1201" i="4"/>
  <c r="B1201" i="4"/>
  <c r="G1201" i="4"/>
  <c r="J1201" i="4"/>
  <c r="F1201" i="4"/>
  <c r="L1201" i="4"/>
  <c r="A1201" i="4"/>
  <c r="I1201" i="4"/>
  <c r="N1201" i="4"/>
  <c r="K1201" i="4"/>
  <c r="E1202" i="4" s="1"/>
  <c r="H1201" i="4"/>
  <c r="C1201" i="4"/>
  <c r="O1201" i="4"/>
  <c r="M1201" i="4"/>
  <c r="J269" i="4"/>
  <c r="H269" i="4"/>
  <c r="D269" i="4"/>
  <c r="C269" i="4"/>
  <c r="I269" i="4"/>
  <c r="A269" i="4"/>
  <c r="O269" i="4"/>
  <c r="K269" i="4"/>
  <c r="E270" i="4" s="1"/>
  <c r="G269" i="4"/>
  <c r="F269" i="4"/>
  <c r="B269" i="4"/>
  <c r="N269" i="4"/>
  <c r="M269" i="4"/>
  <c r="L269" i="4"/>
  <c r="M469" i="4"/>
  <c r="C469" i="4"/>
  <c r="B469" i="4"/>
  <c r="D469" i="4"/>
  <c r="H469" i="4" s="1"/>
  <c r="A469" i="4"/>
  <c r="F469" i="4" l="1"/>
  <c r="G469" i="4" s="1"/>
  <c r="F809" i="4"/>
  <c r="G809" i="4" s="1"/>
  <c r="D1202" i="4"/>
  <c r="B1202" i="4"/>
  <c r="A1202" i="4"/>
  <c r="O1202" i="4"/>
  <c r="L1202" i="4"/>
  <c r="C1202" i="4"/>
  <c r="N1202" i="4"/>
  <c r="G1202" i="4"/>
  <c r="M1202" i="4"/>
  <c r="F1202" i="4"/>
  <c r="K1202" i="4"/>
  <c r="E1203" i="4" s="1"/>
  <c r="J1202" i="4"/>
  <c r="I1202" i="4"/>
  <c r="H1202" i="4"/>
  <c r="B270" i="4"/>
  <c r="A270" i="4"/>
  <c r="I270" i="4"/>
  <c r="M270" i="4"/>
  <c r="L270" i="4"/>
  <c r="K270" i="4"/>
  <c r="E271" i="4" s="1"/>
  <c r="F270" i="4"/>
  <c r="O270" i="4"/>
  <c r="N270" i="4"/>
  <c r="G270" i="4"/>
  <c r="J270" i="4"/>
  <c r="H270" i="4"/>
  <c r="D270" i="4"/>
  <c r="C270" i="4"/>
  <c r="I809" i="4" l="1"/>
  <c r="K809" i="4" s="1"/>
  <c r="L809" i="4"/>
  <c r="J809" i="4"/>
  <c r="O809" i="4"/>
  <c r="L271" i="4"/>
  <c r="I271" i="4"/>
  <c r="B271" i="4"/>
  <c r="K271" i="4"/>
  <c r="E272" i="4" s="1"/>
  <c r="D271" i="4"/>
  <c r="F271" i="4"/>
  <c r="J271" i="4"/>
  <c r="C271" i="4"/>
  <c r="A271" i="4"/>
  <c r="H271" i="4"/>
  <c r="O271" i="4"/>
  <c r="G271" i="4"/>
  <c r="N271" i="4"/>
  <c r="M271" i="4"/>
  <c r="M1203" i="4"/>
  <c r="H1203" i="4"/>
  <c r="D1203" i="4"/>
  <c r="C1203" i="4"/>
  <c r="I1203" i="4"/>
  <c r="F1203" i="4"/>
  <c r="G1203" i="4"/>
  <c r="L1203" i="4"/>
  <c r="K1203" i="4"/>
  <c r="E1204" i="4" s="1"/>
  <c r="N1203" i="4"/>
  <c r="B1203" i="4"/>
  <c r="A1203" i="4"/>
  <c r="J1203" i="4"/>
  <c r="O1203" i="4"/>
  <c r="I469" i="4"/>
  <c r="K469" i="4" s="1"/>
  <c r="O469" i="4"/>
  <c r="L469" i="4"/>
  <c r="J469" i="4"/>
  <c r="A1204" i="4" l="1"/>
  <c r="J1204" i="4"/>
  <c r="H1204" i="4"/>
  <c r="G1204" i="4"/>
  <c r="B1204" i="4"/>
  <c r="F1204" i="4"/>
  <c r="K1204" i="4"/>
  <c r="E1205" i="4" s="1"/>
  <c r="O1204" i="4"/>
  <c r="D1204" i="4"/>
  <c r="L1204" i="4"/>
  <c r="M1204" i="4"/>
  <c r="N1204" i="4"/>
  <c r="I1204" i="4"/>
  <c r="C1204" i="4"/>
  <c r="E470" i="4"/>
  <c r="N469" i="4"/>
  <c r="L272" i="4"/>
  <c r="I272" i="4"/>
  <c r="C272" i="4"/>
  <c r="D272" i="4"/>
  <c r="A272" i="4"/>
  <c r="K272" i="4"/>
  <c r="E273" i="4" s="1"/>
  <c r="N272" i="4"/>
  <c r="H272" i="4"/>
  <c r="G272" i="4"/>
  <c r="O272" i="4"/>
  <c r="M272" i="4"/>
  <c r="J272" i="4"/>
  <c r="B272" i="4"/>
  <c r="F272" i="4"/>
  <c r="E810" i="4"/>
  <c r="N809" i="4"/>
  <c r="C810" i="4" l="1"/>
  <c r="B810" i="4"/>
  <c r="M810" i="4"/>
  <c r="D810" i="4"/>
  <c r="H810" i="4" s="1"/>
  <c r="A810" i="4"/>
  <c r="M273" i="4"/>
  <c r="J273" i="4"/>
  <c r="C273" i="4"/>
  <c r="K273" i="4"/>
  <c r="E274" i="4" s="1"/>
  <c r="D273" i="4"/>
  <c r="H273" i="4"/>
  <c r="G273" i="4"/>
  <c r="O273" i="4"/>
  <c r="N273" i="4"/>
  <c r="I273" i="4"/>
  <c r="F273" i="4"/>
  <c r="B273" i="4"/>
  <c r="A273" i="4"/>
  <c r="L273" i="4"/>
  <c r="B1205" i="4"/>
  <c r="A1205" i="4"/>
  <c r="O1205" i="4"/>
  <c r="J1205" i="4"/>
  <c r="C1205" i="4"/>
  <c r="N1205" i="4"/>
  <c r="M1205" i="4"/>
  <c r="H1205" i="4"/>
  <c r="G1205" i="4"/>
  <c r="K1205" i="4"/>
  <c r="E1206" i="4" s="1"/>
  <c r="I1205" i="4"/>
  <c r="F1205" i="4"/>
  <c r="L1205" i="4"/>
  <c r="D1205" i="4"/>
  <c r="C470" i="4"/>
  <c r="D470" i="4" s="1"/>
  <c r="H470" i="4" s="1"/>
  <c r="A470" i="4"/>
  <c r="B470" i="4"/>
  <c r="M470" i="4"/>
  <c r="F470" i="4" l="1"/>
  <c r="F810" i="4"/>
  <c r="G810" i="4"/>
  <c r="L1206" i="4"/>
  <c r="J1206" i="4"/>
  <c r="F1206" i="4"/>
  <c r="D1206" i="4"/>
  <c r="N1206" i="4"/>
  <c r="K1206" i="4"/>
  <c r="E1207" i="4" s="1"/>
  <c r="G1206" i="4"/>
  <c r="A1206" i="4"/>
  <c r="B1206" i="4"/>
  <c r="O1206" i="4"/>
  <c r="I1206" i="4"/>
  <c r="H1206" i="4"/>
  <c r="C1206" i="4"/>
  <c r="M1206" i="4"/>
  <c r="G274" i="4"/>
  <c r="F274" i="4"/>
  <c r="A274" i="4"/>
  <c r="L274" i="4"/>
  <c r="D274" i="4"/>
  <c r="I274" i="4"/>
  <c r="M274" i="4"/>
  <c r="B274" i="4"/>
  <c r="O274" i="4"/>
  <c r="N274" i="4"/>
  <c r="C274" i="4"/>
  <c r="K274" i="4"/>
  <c r="E275" i="4" s="1"/>
  <c r="J274" i="4"/>
  <c r="H274" i="4"/>
  <c r="B1207" i="4" l="1"/>
  <c r="N1207" i="4"/>
  <c r="M1207" i="4"/>
  <c r="J1207" i="4"/>
  <c r="I1207" i="4"/>
  <c r="D1207" i="4"/>
  <c r="C1207" i="4"/>
  <c r="A1207" i="4"/>
  <c r="K1207" i="4"/>
  <c r="E1208" i="4" s="1"/>
  <c r="G1207" i="4"/>
  <c r="F1207" i="4"/>
  <c r="H1207" i="4"/>
  <c r="O1207" i="4"/>
  <c r="L1207" i="4"/>
  <c r="J810" i="4"/>
  <c r="L810" i="4"/>
  <c r="I810" i="4"/>
  <c r="K810" i="4" s="1"/>
  <c r="O810" i="4"/>
  <c r="D275" i="4"/>
  <c r="C275" i="4"/>
  <c r="M275" i="4"/>
  <c r="J275" i="4"/>
  <c r="I275" i="4"/>
  <c r="G275" i="4"/>
  <c r="F275" i="4"/>
  <c r="B275" i="4"/>
  <c r="H275" i="4"/>
  <c r="N275" i="4"/>
  <c r="O275" i="4"/>
  <c r="A275" i="4"/>
  <c r="K275" i="4"/>
  <c r="E276" i="4" s="1"/>
  <c r="L275" i="4"/>
  <c r="G470" i="4"/>
  <c r="J470" i="4" s="1"/>
  <c r="H1208" i="4" l="1"/>
  <c r="G1208" i="4"/>
  <c r="F1208" i="4"/>
  <c r="D1208" i="4"/>
  <c r="N1208" i="4"/>
  <c r="A1208" i="4"/>
  <c r="L1208" i="4"/>
  <c r="K1208" i="4"/>
  <c r="E1209" i="4" s="1"/>
  <c r="B1208" i="4"/>
  <c r="C1208" i="4"/>
  <c r="M1208" i="4"/>
  <c r="I1208" i="4"/>
  <c r="O1208" i="4"/>
  <c r="J1208" i="4"/>
  <c r="L470" i="4"/>
  <c r="I470" i="4"/>
  <c r="K470" i="4" s="1"/>
  <c r="O470" i="4"/>
  <c r="D276" i="4"/>
  <c r="H276" i="4"/>
  <c r="F276" i="4"/>
  <c r="C276" i="4"/>
  <c r="B276" i="4"/>
  <c r="O276" i="4"/>
  <c r="K276" i="4"/>
  <c r="E277" i="4" s="1"/>
  <c r="J276" i="4"/>
  <c r="G276" i="4"/>
  <c r="A276" i="4"/>
  <c r="N276" i="4"/>
  <c r="M276" i="4"/>
  <c r="L276" i="4"/>
  <c r="I276" i="4"/>
  <c r="E811" i="4"/>
  <c r="N810" i="4"/>
  <c r="F1209" i="4" l="1"/>
  <c r="L1209" i="4"/>
  <c r="N1209" i="4"/>
  <c r="C1209" i="4"/>
  <c r="G1209" i="4"/>
  <c r="D1209" i="4"/>
  <c r="K1209" i="4"/>
  <c r="E1210" i="4" s="1"/>
  <c r="J1209" i="4"/>
  <c r="I1209" i="4"/>
  <c r="H1209" i="4"/>
  <c r="O1209" i="4"/>
  <c r="A1209" i="4"/>
  <c r="M1209" i="4"/>
  <c r="B1209" i="4"/>
  <c r="B811" i="4"/>
  <c r="A811" i="4"/>
  <c r="C811" i="4"/>
  <c r="D811" i="4" s="1"/>
  <c r="H811" i="4" s="1"/>
  <c r="M811" i="4"/>
  <c r="C277" i="4"/>
  <c r="L277" i="4"/>
  <c r="J277" i="4"/>
  <c r="H277" i="4"/>
  <c r="G277" i="4"/>
  <c r="N277" i="4"/>
  <c r="A277" i="4"/>
  <c r="K277" i="4"/>
  <c r="E278" i="4" s="1"/>
  <c r="I277" i="4"/>
  <c r="O277" i="4"/>
  <c r="M277" i="4"/>
  <c r="B277" i="4"/>
  <c r="F277" i="4"/>
  <c r="D277" i="4"/>
  <c r="E471" i="4"/>
  <c r="N470" i="4"/>
  <c r="F811" i="4" l="1"/>
  <c r="G278" i="4"/>
  <c r="F278" i="4"/>
  <c r="D278" i="4"/>
  <c r="C278" i="4"/>
  <c r="L278" i="4"/>
  <c r="J278" i="4"/>
  <c r="O278" i="4"/>
  <c r="A278" i="4"/>
  <c r="N278" i="4"/>
  <c r="I278" i="4"/>
  <c r="H278" i="4"/>
  <c r="B278" i="4"/>
  <c r="K278" i="4"/>
  <c r="E279" i="4" s="1"/>
  <c r="M278" i="4"/>
  <c r="J1210" i="4"/>
  <c r="C1210" i="4"/>
  <c r="K1210" i="4"/>
  <c r="E1211" i="4" s="1"/>
  <c r="I1210" i="4"/>
  <c r="L1210" i="4"/>
  <c r="B1210" i="4"/>
  <c r="H1210" i="4"/>
  <c r="G1210" i="4"/>
  <c r="N1210" i="4"/>
  <c r="D1210" i="4"/>
  <c r="M1210" i="4"/>
  <c r="F1210" i="4"/>
  <c r="A1210" i="4"/>
  <c r="O1210" i="4"/>
  <c r="A471" i="4"/>
  <c r="C471" i="4"/>
  <c r="D471" i="4" s="1"/>
  <c r="H471" i="4" s="1"/>
  <c r="B471" i="4"/>
  <c r="M471" i="4"/>
  <c r="F471" i="4" l="1"/>
  <c r="A1211" i="4"/>
  <c r="O1211" i="4"/>
  <c r="N1211" i="4"/>
  <c r="F1211" i="4"/>
  <c r="G1211" i="4"/>
  <c r="D1211" i="4"/>
  <c r="C1211" i="4"/>
  <c r="B1211" i="4"/>
  <c r="K1211" i="4"/>
  <c r="E1212" i="4" s="1"/>
  <c r="J1211" i="4"/>
  <c r="M1211" i="4"/>
  <c r="I1211" i="4"/>
  <c r="H1211" i="4"/>
  <c r="L1211" i="4"/>
  <c r="O279" i="4"/>
  <c r="I279" i="4"/>
  <c r="H279" i="4"/>
  <c r="F279" i="4"/>
  <c r="C279" i="4"/>
  <c r="M279" i="4"/>
  <c r="L279" i="4"/>
  <c r="J279" i="4"/>
  <c r="D279" i="4"/>
  <c r="K279" i="4"/>
  <c r="E280" i="4" s="1"/>
  <c r="N279" i="4"/>
  <c r="G279" i="4"/>
  <c r="B279" i="4"/>
  <c r="A279" i="4"/>
  <c r="G811" i="4"/>
  <c r="I811" i="4" s="1"/>
  <c r="K811" i="4" s="1"/>
  <c r="E812" i="4" l="1"/>
  <c r="N811" i="4"/>
  <c r="D1212" i="4"/>
  <c r="L1212" i="4"/>
  <c r="I1212" i="4"/>
  <c r="H1212" i="4"/>
  <c r="N1212" i="4"/>
  <c r="M1212" i="4"/>
  <c r="O1212" i="4"/>
  <c r="K1212" i="4"/>
  <c r="E1213" i="4" s="1"/>
  <c r="G1212" i="4"/>
  <c r="F1212" i="4"/>
  <c r="C1212" i="4"/>
  <c r="B1212" i="4"/>
  <c r="J1212" i="4"/>
  <c r="A1212" i="4"/>
  <c r="L811" i="4"/>
  <c r="J811" i="4"/>
  <c r="O811" i="4"/>
  <c r="C280" i="4"/>
  <c r="B280" i="4"/>
  <c r="M280" i="4"/>
  <c r="J280" i="4"/>
  <c r="A280" i="4"/>
  <c r="N280" i="4"/>
  <c r="L280" i="4"/>
  <c r="K280" i="4"/>
  <c r="E281" i="4" s="1"/>
  <c r="O280" i="4"/>
  <c r="G280" i="4"/>
  <c r="D280" i="4"/>
  <c r="H280" i="4"/>
  <c r="F280" i="4"/>
  <c r="I280" i="4"/>
  <c r="G471" i="4"/>
  <c r="L471" i="4" s="1"/>
  <c r="F1213" i="4" l="1"/>
  <c r="M1213" i="4"/>
  <c r="L1213" i="4"/>
  <c r="J1213" i="4"/>
  <c r="H1213" i="4"/>
  <c r="G1213" i="4"/>
  <c r="D1213" i="4"/>
  <c r="B1213" i="4"/>
  <c r="A1213" i="4"/>
  <c r="N1213" i="4"/>
  <c r="O1213" i="4"/>
  <c r="I1213" i="4"/>
  <c r="C1213" i="4"/>
  <c r="K1213" i="4"/>
  <c r="E1214" i="4" s="1"/>
  <c r="J471" i="4"/>
  <c r="O471" i="4"/>
  <c r="F281" i="4"/>
  <c r="G281" i="4"/>
  <c r="A281" i="4"/>
  <c r="O281" i="4"/>
  <c r="M281" i="4"/>
  <c r="J281" i="4"/>
  <c r="B281" i="4"/>
  <c r="L281" i="4"/>
  <c r="K281" i="4"/>
  <c r="E282" i="4" s="1"/>
  <c r="I281" i="4"/>
  <c r="C281" i="4"/>
  <c r="N281" i="4"/>
  <c r="D281" i="4"/>
  <c r="H281" i="4"/>
  <c r="I471" i="4"/>
  <c r="K471" i="4" s="1"/>
  <c r="M812" i="4"/>
  <c r="A812" i="4"/>
  <c r="B812" i="4"/>
  <c r="C812" i="4"/>
  <c r="D812" i="4" s="1"/>
  <c r="H812" i="4" s="1"/>
  <c r="F812" i="4" l="1"/>
  <c r="G812" i="4"/>
  <c r="F1214" i="4"/>
  <c r="H1214" i="4"/>
  <c r="I1214" i="4"/>
  <c r="B1214" i="4"/>
  <c r="M1214" i="4"/>
  <c r="O1214" i="4"/>
  <c r="J1214" i="4"/>
  <c r="D1214" i="4"/>
  <c r="N1214" i="4"/>
  <c r="A1214" i="4"/>
  <c r="K1214" i="4"/>
  <c r="E1215" i="4" s="1"/>
  <c r="G1214" i="4"/>
  <c r="L1214" i="4"/>
  <c r="C1214" i="4"/>
  <c r="M282" i="4"/>
  <c r="I282" i="4"/>
  <c r="G282" i="4"/>
  <c r="O282" i="4"/>
  <c r="L282" i="4"/>
  <c r="D282" i="4"/>
  <c r="B282" i="4"/>
  <c r="A282" i="4"/>
  <c r="K282" i="4"/>
  <c r="E283" i="4" s="1"/>
  <c r="F282" i="4"/>
  <c r="J282" i="4"/>
  <c r="H282" i="4"/>
  <c r="C282" i="4"/>
  <c r="N282" i="4"/>
  <c r="E472" i="4"/>
  <c r="N471" i="4"/>
  <c r="J1215" i="4" l="1"/>
  <c r="G1215" i="4"/>
  <c r="I1215" i="4"/>
  <c r="H1215" i="4"/>
  <c r="L1215" i="4"/>
  <c r="A1215" i="4"/>
  <c r="N1215" i="4"/>
  <c r="M1215" i="4"/>
  <c r="O1215" i="4"/>
  <c r="F1215" i="4"/>
  <c r="D1215" i="4"/>
  <c r="C1215" i="4"/>
  <c r="B1215" i="4"/>
  <c r="K1215" i="4"/>
  <c r="E1216" i="4" s="1"/>
  <c r="G283" i="4"/>
  <c r="M283" i="4"/>
  <c r="C283" i="4"/>
  <c r="N283" i="4"/>
  <c r="L283" i="4"/>
  <c r="K283" i="4"/>
  <c r="E284" i="4" s="1"/>
  <c r="F283" i="4"/>
  <c r="D283" i="4"/>
  <c r="B283" i="4"/>
  <c r="O283" i="4"/>
  <c r="A283" i="4"/>
  <c r="J283" i="4"/>
  <c r="I283" i="4"/>
  <c r="H283" i="4"/>
  <c r="B472" i="4"/>
  <c r="A472" i="4"/>
  <c r="C472" i="4"/>
  <c r="D472" i="4" s="1"/>
  <c r="H472" i="4" s="1"/>
  <c r="M472" i="4"/>
  <c r="L812" i="4"/>
  <c r="O812" i="4"/>
  <c r="I812" i="4"/>
  <c r="K812" i="4" s="1"/>
  <c r="J812" i="4"/>
  <c r="F472" i="4" l="1"/>
  <c r="G472" i="4" s="1"/>
  <c r="J284" i="4"/>
  <c r="C284" i="4"/>
  <c r="H284" i="4"/>
  <c r="O284" i="4"/>
  <c r="L284" i="4"/>
  <c r="D284" i="4"/>
  <c r="A284" i="4"/>
  <c r="M284" i="4"/>
  <c r="B284" i="4"/>
  <c r="I284" i="4"/>
  <c r="G284" i="4"/>
  <c r="F284" i="4"/>
  <c r="N284" i="4"/>
  <c r="K284" i="4"/>
  <c r="E285" i="4" s="1"/>
  <c r="E813" i="4"/>
  <c r="N812" i="4"/>
  <c r="C1216" i="4"/>
  <c r="K1216" i="4"/>
  <c r="E1217" i="4" s="1"/>
  <c r="B1216" i="4"/>
  <c r="J1216" i="4"/>
  <c r="D1216" i="4"/>
  <c r="I1216" i="4"/>
  <c r="G1216" i="4"/>
  <c r="F1216" i="4"/>
  <c r="N1216" i="4"/>
  <c r="M1216" i="4"/>
  <c r="L1216" i="4"/>
  <c r="H1216" i="4"/>
  <c r="A1216" i="4"/>
  <c r="O1216" i="4"/>
  <c r="G1217" i="4" l="1"/>
  <c r="F1217" i="4"/>
  <c r="O1217" i="4"/>
  <c r="H1217" i="4"/>
  <c r="B1217" i="4"/>
  <c r="A1217" i="4"/>
  <c r="M1217" i="4"/>
  <c r="N1217" i="4"/>
  <c r="I1217" i="4"/>
  <c r="D1217" i="4"/>
  <c r="C1217" i="4"/>
  <c r="K1217" i="4"/>
  <c r="E1218" i="4" s="1"/>
  <c r="J1217" i="4"/>
  <c r="L1217" i="4"/>
  <c r="A813" i="4"/>
  <c r="C813" i="4"/>
  <c r="D813" i="4" s="1"/>
  <c r="H813" i="4" s="1"/>
  <c r="B813" i="4"/>
  <c r="M813" i="4"/>
  <c r="D285" i="4"/>
  <c r="K285" i="4"/>
  <c r="E286" i="4" s="1"/>
  <c r="A285" i="4"/>
  <c r="M285" i="4"/>
  <c r="C285" i="4"/>
  <c r="H285" i="4"/>
  <c r="J285" i="4"/>
  <c r="G285" i="4"/>
  <c r="B285" i="4"/>
  <c r="O285" i="4"/>
  <c r="N285" i="4"/>
  <c r="L285" i="4"/>
  <c r="I285" i="4"/>
  <c r="F285" i="4"/>
  <c r="L472" i="4"/>
  <c r="I472" i="4"/>
  <c r="K472" i="4" s="1"/>
  <c r="O472" i="4"/>
  <c r="J472" i="4"/>
  <c r="F813" i="4" l="1"/>
  <c r="G813" i="4" s="1"/>
  <c r="L1218" i="4"/>
  <c r="O1218" i="4"/>
  <c r="A1218" i="4"/>
  <c r="J1218" i="4"/>
  <c r="F1218" i="4"/>
  <c r="D1218" i="4"/>
  <c r="B1218" i="4"/>
  <c r="I1218" i="4"/>
  <c r="N1218" i="4"/>
  <c r="M1218" i="4"/>
  <c r="K1218" i="4"/>
  <c r="E1219" i="4" s="1"/>
  <c r="H1218" i="4"/>
  <c r="G1218" i="4"/>
  <c r="C1218" i="4"/>
  <c r="E473" i="4"/>
  <c r="N472" i="4"/>
  <c r="L286" i="4"/>
  <c r="K286" i="4"/>
  <c r="E287" i="4" s="1"/>
  <c r="J286" i="4"/>
  <c r="I286" i="4"/>
  <c r="H286" i="4"/>
  <c r="N286" i="4"/>
  <c r="G286" i="4"/>
  <c r="F286" i="4"/>
  <c r="D286" i="4"/>
  <c r="C286" i="4"/>
  <c r="O286" i="4"/>
  <c r="M286" i="4"/>
  <c r="B286" i="4"/>
  <c r="A286" i="4"/>
  <c r="M473" i="4" l="1"/>
  <c r="B473" i="4"/>
  <c r="A473" i="4"/>
  <c r="C473" i="4"/>
  <c r="D473" i="4" s="1"/>
  <c r="H473" i="4" s="1"/>
  <c r="I1219" i="4"/>
  <c r="G1219" i="4"/>
  <c r="F1219" i="4"/>
  <c r="K1219" i="4"/>
  <c r="E1220" i="4" s="1"/>
  <c r="M1219" i="4"/>
  <c r="H1219" i="4"/>
  <c r="O1219" i="4"/>
  <c r="D1219" i="4"/>
  <c r="B1219" i="4"/>
  <c r="L1219" i="4"/>
  <c r="J1219" i="4"/>
  <c r="N1219" i="4"/>
  <c r="C1219" i="4"/>
  <c r="A1219" i="4"/>
  <c r="M287" i="4"/>
  <c r="F287" i="4"/>
  <c r="D287" i="4"/>
  <c r="C287" i="4"/>
  <c r="H287" i="4"/>
  <c r="A287" i="4"/>
  <c r="L287" i="4"/>
  <c r="I287" i="4"/>
  <c r="G287" i="4"/>
  <c r="O287" i="4"/>
  <c r="K287" i="4"/>
  <c r="E288" i="4" s="1"/>
  <c r="J287" i="4"/>
  <c r="B287" i="4"/>
  <c r="N287" i="4"/>
  <c r="O813" i="4"/>
  <c r="J813" i="4"/>
  <c r="L813" i="4"/>
  <c r="I813" i="4"/>
  <c r="K813" i="4" s="1"/>
  <c r="F473" i="4" l="1"/>
  <c r="G473" i="4" s="1"/>
  <c r="E814" i="4"/>
  <c r="N813" i="4"/>
  <c r="M1220" i="4"/>
  <c r="H1220" i="4"/>
  <c r="B1220" i="4"/>
  <c r="O1220" i="4"/>
  <c r="G1220" i="4"/>
  <c r="D1220" i="4"/>
  <c r="K1220" i="4"/>
  <c r="E1221" i="4" s="1"/>
  <c r="N1220" i="4"/>
  <c r="C1220" i="4"/>
  <c r="L1220" i="4"/>
  <c r="F1220" i="4"/>
  <c r="A1220" i="4"/>
  <c r="I1220" i="4"/>
  <c r="J1220" i="4"/>
  <c r="J288" i="4"/>
  <c r="I288" i="4"/>
  <c r="H288" i="4"/>
  <c r="G288" i="4"/>
  <c r="N288" i="4"/>
  <c r="K288" i="4"/>
  <c r="E289" i="4" s="1"/>
  <c r="A288" i="4"/>
  <c r="B288" i="4"/>
  <c r="O288" i="4"/>
  <c r="M288" i="4"/>
  <c r="F288" i="4"/>
  <c r="D288" i="4"/>
  <c r="C288" i="4"/>
  <c r="L288" i="4"/>
  <c r="K289" i="4" l="1"/>
  <c r="E290" i="4" s="1"/>
  <c r="J289" i="4"/>
  <c r="H289" i="4"/>
  <c r="I289" i="4"/>
  <c r="G289" i="4"/>
  <c r="F289" i="4"/>
  <c r="M289" i="4"/>
  <c r="D289" i="4"/>
  <c r="N289" i="4"/>
  <c r="L289" i="4"/>
  <c r="B289" i="4"/>
  <c r="O289" i="4"/>
  <c r="C289" i="4"/>
  <c r="A289" i="4"/>
  <c r="A814" i="4"/>
  <c r="M814" i="4"/>
  <c r="B814" i="4"/>
  <c r="C814" i="4"/>
  <c r="D814" i="4" s="1"/>
  <c r="H814" i="4" s="1"/>
  <c r="H1221" i="4"/>
  <c r="G1221" i="4"/>
  <c r="F1221" i="4"/>
  <c r="D1221" i="4"/>
  <c r="B1221" i="4"/>
  <c r="O1221" i="4"/>
  <c r="L1221" i="4"/>
  <c r="J1221" i="4"/>
  <c r="C1221" i="4"/>
  <c r="N1221" i="4"/>
  <c r="M1221" i="4"/>
  <c r="K1221" i="4"/>
  <c r="E1222" i="4" s="1"/>
  <c r="I1221" i="4"/>
  <c r="A1221" i="4"/>
  <c r="J473" i="4"/>
  <c r="I473" i="4"/>
  <c r="K473" i="4" s="1"/>
  <c r="L473" i="4"/>
  <c r="O473" i="4"/>
  <c r="F814" i="4" l="1"/>
  <c r="G814" i="4"/>
  <c r="D1222" i="4"/>
  <c r="C1222" i="4"/>
  <c r="A1222" i="4"/>
  <c r="M1222" i="4"/>
  <c r="J1222" i="4"/>
  <c r="B1222" i="4"/>
  <c r="L1222" i="4"/>
  <c r="H1222" i="4"/>
  <c r="O1222" i="4"/>
  <c r="K1222" i="4"/>
  <c r="E1223" i="4" s="1"/>
  <c r="F1222" i="4"/>
  <c r="N1222" i="4"/>
  <c r="I1222" i="4"/>
  <c r="G1222" i="4"/>
  <c r="E474" i="4"/>
  <c r="N473" i="4"/>
  <c r="K290" i="4"/>
  <c r="E291" i="4" s="1"/>
  <c r="J290" i="4"/>
  <c r="I290" i="4"/>
  <c r="L290" i="4"/>
  <c r="B290" i="4"/>
  <c r="A290" i="4"/>
  <c r="H290" i="4"/>
  <c r="G290" i="4"/>
  <c r="F290" i="4"/>
  <c r="D290" i="4"/>
  <c r="C290" i="4"/>
  <c r="O290" i="4"/>
  <c r="M290" i="4"/>
  <c r="N290" i="4"/>
  <c r="C474" i="4" l="1"/>
  <c r="D474" i="4" s="1"/>
  <c r="H474" i="4" s="1"/>
  <c r="M474" i="4"/>
  <c r="B474" i="4"/>
  <c r="A474" i="4"/>
  <c r="F1223" i="4"/>
  <c r="D1223" i="4"/>
  <c r="J1223" i="4"/>
  <c r="I1223" i="4"/>
  <c r="G1223" i="4"/>
  <c r="O1223" i="4"/>
  <c r="N1223" i="4"/>
  <c r="B1223" i="4"/>
  <c r="H1223" i="4"/>
  <c r="A1223" i="4"/>
  <c r="M1223" i="4"/>
  <c r="K1223" i="4"/>
  <c r="E1224" i="4" s="1"/>
  <c r="C1223" i="4"/>
  <c r="L1223" i="4"/>
  <c r="H291" i="4"/>
  <c r="G291" i="4"/>
  <c r="F291" i="4"/>
  <c r="O291" i="4"/>
  <c r="K291" i="4"/>
  <c r="E292" i="4" s="1"/>
  <c r="A291" i="4"/>
  <c r="N291" i="4"/>
  <c r="D291" i="4"/>
  <c r="J291" i="4"/>
  <c r="M291" i="4"/>
  <c r="L291" i="4"/>
  <c r="I291" i="4"/>
  <c r="C291" i="4"/>
  <c r="B291" i="4"/>
  <c r="O814" i="4"/>
  <c r="L814" i="4"/>
  <c r="J814" i="4"/>
  <c r="I814" i="4"/>
  <c r="K814" i="4" s="1"/>
  <c r="F474" i="4" l="1"/>
  <c r="G474" i="4" s="1"/>
  <c r="F1224" i="4"/>
  <c r="D1224" i="4"/>
  <c r="K1224" i="4"/>
  <c r="E1225" i="4" s="1"/>
  <c r="J1224" i="4"/>
  <c r="O1224" i="4"/>
  <c r="M1224" i="4"/>
  <c r="G1224" i="4"/>
  <c r="N1224" i="4"/>
  <c r="B1224" i="4"/>
  <c r="I1224" i="4"/>
  <c r="H1224" i="4"/>
  <c r="L1224" i="4"/>
  <c r="C1224" i="4"/>
  <c r="A1224" i="4"/>
  <c r="E815" i="4"/>
  <c r="N814" i="4"/>
  <c r="L292" i="4"/>
  <c r="B292" i="4"/>
  <c r="K292" i="4"/>
  <c r="E293" i="4" s="1"/>
  <c r="I292" i="4"/>
  <c r="H292" i="4"/>
  <c r="O292" i="4"/>
  <c r="M292" i="4"/>
  <c r="J292" i="4"/>
  <c r="D292" i="4"/>
  <c r="C292" i="4"/>
  <c r="A292" i="4"/>
  <c r="F292" i="4"/>
  <c r="G292" i="4"/>
  <c r="N292" i="4"/>
  <c r="H293" i="4" l="1"/>
  <c r="G293" i="4"/>
  <c r="D293" i="4"/>
  <c r="M293" i="4"/>
  <c r="F293" i="4"/>
  <c r="O293" i="4"/>
  <c r="N293" i="4"/>
  <c r="J293" i="4"/>
  <c r="I293" i="4"/>
  <c r="C293" i="4"/>
  <c r="B293" i="4"/>
  <c r="A293" i="4"/>
  <c r="K293" i="4"/>
  <c r="E294" i="4" s="1"/>
  <c r="L293" i="4"/>
  <c r="M815" i="4"/>
  <c r="C815" i="4"/>
  <c r="A815" i="4"/>
  <c r="D815" i="4"/>
  <c r="H815" i="4" s="1"/>
  <c r="B815" i="4"/>
  <c r="L1225" i="4"/>
  <c r="A1225" i="4"/>
  <c r="O1225" i="4"/>
  <c r="I1225" i="4"/>
  <c r="K1225" i="4"/>
  <c r="E1226" i="4" s="1"/>
  <c r="N1225" i="4"/>
  <c r="M1225" i="4"/>
  <c r="H1225" i="4"/>
  <c r="F1225" i="4"/>
  <c r="C1225" i="4"/>
  <c r="B1225" i="4"/>
  <c r="D1225" i="4"/>
  <c r="J1225" i="4"/>
  <c r="G1225" i="4"/>
  <c r="J474" i="4"/>
  <c r="O474" i="4"/>
  <c r="L474" i="4"/>
  <c r="I474" i="4"/>
  <c r="K474" i="4" s="1"/>
  <c r="F815" i="4" l="1"/>
  <c r="H294" i="4"/>
  <c r="K294" i="4"/>
  <c r="E295" i="4" s="1"/>
  <c r="J294" i="4"/>
  <c r="D294" i="4"/>
  <c r="G294" i="4"/>
  <c r="O294" i="4"/>
  <c r="L294" i="4"/>
  <c r="C294" i="4"/>
  <c r="B294" i="4"/>
  <c r="A294" i="4"/>
  <c r="M294" i="4"/>
  <c r="I294" i="4"/>
  <c r="F294" i="4"/>
  <c r="N294" i="4"/>
  <c r="I1226" i="4"/>
  <c r="H1226" i="4"/>
  <c r="G1226" i="4"/>
  <c r="F1226" i="4"/>
  <c r="A1226" i="4"/>
  <c r="C1226" i="4"/>
  <c r="B1226" i="4"/>
  <c r="O1226" i="4"/>
  <c r="D1226" i="4"/>
  <c r="K1226" i="4"/>
  <c r="E1227" i="4" s="1"/>
  <c r="J1226" i="4"/>
  <c r="N1226" i="4"/>
  <c r="M1226" i="4"/>
  <c r="L1226" i="4"/>
  <c r="E475" i="4"/>
  <c r="N474" i="4"/>
  <c r="H1227" i="4" l="1"/>
  <c r="F1227" i="4"/>
  <c r="D1227" i="4"/>
  <c r="N1227" i="4"/>
  <c r="G1227" i="4"/>
  <c r="C1227" i="4"/>
  <c r="A1227" i="4"/>
  <c r="I1227" i="4"/>
  <c r="B1227" i="4"/>
  <c r="O1227" i="4"/>
  <c r="L1227" i="4"/>
  <c r="K1227" i="4"/>
  <c r="E1228" i="4" s="1"/>
  <c r="J1227" i="4"/>
  <c r="M1227" i="4"/>
  <c r="J295" i="4"/>
  <c r="I295" i="4"/>
  <c r="F295" i="4"/>
  <c r="B295" i="4"/>
  <c r="O295" i="4"/>
  <c r="N295" i="4"/>
  <c r="M295" i="4"/>
  <c r="L295" i="4"/>
  <c r="H295" i="4"/>
  <c r="G295" i="4"/>
  <c r="D295" i="4"/>
  <c r="C295" i="4"/>
  <c r="A295" i="4"/>
  <c r="K295" i="4"/>
  <c r="E296" i="4" s="1"/>
  <c r="C475" i="4"/>
  <c r="D475" i="4" s="1"/>
  <c r="H475" i="4" s="1"/>
  <c r="F475" i="4" s="1"/>
  <c r="B475" i="4"/>
  <c r="M475" i="4"/>
  <c r="A475" i="4"/>
  <c r="G815" i="4"/>
  <c r="J815" i="4" s="1"/>
  <c r="G475" i="4" l="1"/>
  <c r="O475" i="4" s="1"/>
  <c r="I815" i="4"/>
  <c r="K815" i="4" s="1"/>
  <c r="K296" i="4"/>
  <c r="E297" i="4" s="1"/>
  <c r="I296" i="4"/>
  <c r="J296" i="4"/>
  <c r="F296" i="4"/>
  <c r="H296" i="4"/>
  <c r="G296" i="4"/>
  <c r="D296" i="4"/>
  <c r="C296" i="4"/>
  <c r="A296" i="4"/>
  <c r="M296" i="4"/>
  <c r="O296" i="4"/>
  <c r="N296" i="4"/>
  <c r="B296" i="4"/>
  <c r="L296" i="4"/>
  <c r="A1228" i="4"/>
  <c r="K1228" i="4"/>
  <c r="E1229" i="4" s="1"/>
  <c r="G1228" i="4"/>
  <c r="O1228" i="4"/>
  <c r="L1228" i="4"/>
  <c r="J1228" i="4"/>
  <c r="I1228" i="4"/>
  <c r="F1228" i="4"/>
  <c r="B1228" i="4"/>
  <c r="M1228" i="4"/>
  <c r="D1228" i="4"/>
  <c r="C1228" i="4"/>
  <c r="H1228" i="4"/>
  <c r="N1228" i="4"/>
  <c r="O815" i="4"/>
  <c r="L815" i="4"/>
  <c r="L475" i="4" l="1"/>
  <c r="E816" i="4"/>
  <c r="N815" i="4"/>
  <c r="I475" i="4"/>
  <c r="K475" i="4" s="1"/>
  <c r="C1229" i="4"/>
  <c r="B1229" i="4"/>
  <c r="I1229" i="4"/>
  <c r="F1229" i="4"/>
  <c r="A1229" i="4"/>
  <c r="L1229" i="4"/>
  <c r="J1229" i="4"/>
  <c r="N1229" i="4"/>
  <c r="M1229" i="4"/>
  <c r="K1229" i="4"/>
  <c r="E1230" i="4" s="1"/>
  <c r="O1229" i="4"/>
  <c r="G1229" i="4"/>
  <c r="H1229" i="4"/>
  <c r="D1229" i="4"/>
  <c r="L297" i="4"/>
  <c r="D297" i="4"/>
  <c r="A297" i="4"/>
  <c r="G297" i="4"/>
  <c r="F297" i="4"/>
  <c r="M297" i="4"/>
  <c r="N297" i="4"/>
  <c r="K297" i="4"/>
  <c r="E298" i="4" s="1"/>
  <c r="J297" i="4"/>
  <c r="C297" i="4"/>
  <c r="B297" i="4"/>
  <c r="I297" i="4"/>
  <c r="H297" i="4"/>
  <c r="O297" i="4"/>
  <c r="J475" i="4"/>
  <c r="C1230" i="4" l="1"/>
  <c r="B1230" i="4"/>
  <c r="I1230" i="4"/>
  <c r="F1230" i="4"/>
  <c r="M1230" i="4"/>
  <c r="H1230" i="4"/>
  <c r="D1230" i="4"/>
  <c r="L1230" i="4"/>
  <c r="N1230" i="4"/>
  <c r="A1230" i="4"/>
  <c r="O1230" i="4"/>
  <c r="K1230" i="4"/>
  <c r="E1231" i="4" s="1"/>
  <c r="J1230" i="4"/>
  <c r="G1230" i="4"/>
  <c r="F298" i="4"/>
  <c r="O298" i="4"/>
  <c r="N298" i="4"/>
  <c r="D298" i="4"/>
  <c r="A298" i="4"/>
  <c r="K298" i="4"/>
  <c r="E299" i="4" s="1"/>
  <c r="I298" i="4"/>
  <c r="H298" i="4"/>
  <c r="C298" i="4"/>
  <c r="L298" i="4"/>
  <c r="G298" i="4"/>
  <c r="B298" i="4"/>
  <c r="M298" i="4"/>
  <c r="J298" i="4"/>
  <c r="E476" i="4"/>
  <c r="N475" i="4"/>
  <c r="A816" i="4"/>
  <c r="B816" i="4"/>
  <c r="C816" i="4"/>
  <c r="M816" i="4"/>
  <c r="D816" i="4"/>
  <c r="H816" i="4" s="1"/>
  <c r="F816" i="4" l="1"/>
  <c r="G816" i="4"/>
  <c r="H1231" i="4"/>
  <c r="L1231" i="4"/>
  <c r="K1231" i="4"/>
  <c r="E1232" i="4" s="1"/>
  <c r="G1231" i="4"/>
  <c r="D1231" i="4"/>
  <c r="M1231" i="4"/>
  <c r="N1231" i="4"/>
  <c r="F1231" i="4"/>
  <c r="B1231" i="4"/>
  <c r="C1231" i="4"/>
  <c r="O1231" i="4"/>
  <c r="I1231" i="4"/>
  <c r="J1231" i="4"/>
  <c r="A1231" i="4"/>
  <c r="F299" i="4"/>
  <c r="B299" i="4"/>
  <c r="O299" i="4"/>
  <c r="M299" i="4"/>
  <c r="J299" i="4"/>
  <c r="C299" i="4"/>
  <c r="L299" i="4"/>
  <c r="I299" i="4"/>
  <c r="H299" i="4"/>
  <c r="D299" i="4"/>
  <c r="N299" i="4"/>
  <c r="G299" i="4"/>
  <c r="A299" i="4"/>
  <c r="K299" i="4"/>
  <c r="E300" i="4" s="1"/>
  <c r="B476" i="4"/>
  <c r="M476" i="4"/>
  <c r="A476" i="4"/>
  <c r="C476" i="4"/>
  <c r="D476" i="4" s="1"/>
  <c r="H476" i="4" s="1"/>
  <c r="F476" i="4" l="1"/>
  <c r="G476" i="4" s="1"/>
  <c r="J1232" i="4"/>
  <c r="F1232" i="4"/>
  <c r="D1232" i="4"/>
  <c r="A1232" i="4"/>
  <c r="O1232" i="4"/>
  <c r="M1232" i="4"/>
  <c r="H1232" i="4"/>
  <c r="L1232" i="4"/>
  <c r="I1232" i="4"/>
  <c r="G1232" i="4"/>
  <c r="N1232" i="4"/>
  <c r="C1232" i="4"/>
  <c r="B1232" i="4"/>
  <c r="K1232" i="4"/>
  <c r="E1233" i="4" s="1"/>
  <c r="J300" i="4"/>
  <c r="I300" i="4"/>
  <c r="O300" i="4"/>
  <c r="B300" i="4"/>
  <c r="G300" i="4"/>
  <c r="L300" i="4"/>
  <c r="D300" i="4"/>
  <c r="M300" i="4"/>
  <c r="H300" i="4"/>
  <c r="N300" i="4"/>
  <c r="F300" i="4"/>
  <c r="K300" i="4"/>
  <c r="E301" i="4" s="1"/>
  <c r="C300" i="4"/>
  <c r="A300" i="4"/>
  <c r="L816" i="4"/>
  <c r="J816" i="4"/>
  <c r="I816" i="4"/>
  <c r="K816" i="4" s="1"/>
  <c r="O816" i="4"/>
  <c r="I301" i="4" l="1"/>
  <c r="G301" i="4"/>
  <c r="H301" i="4"/>
  <c r="O301" i="4"/>
  <c r="B301" i="4"/>
  <c r="L301" i="4"/>
  <c r="A301" i="4"/>
  <c r="F301" i="4"/>
  <c r="D301" i="4"/>
  <c r="M301" i="4"/>
  <c r="N301" i="4"/>
  <c r="C301" i="4"/>
  <c r="K301" i="4"/>
  <c r="E302" i="4" s="1"/>
  <c r="J301" i="4"/>
  <c r="E817" i="4"/>
  <c r="N816" i="4"/>
  <c r="L1233" i="4"/>
  <c r="J1233" i="4"/>
  <c r="H1233" i="4"/>
  <c r="N1233" i="4"/>
  <c r="C1233" i="4"/>
  <c r="I1233" i="4"/>
  <c r="G1233" i="4"/>
  <c r="A1233" i="4"/>
  <c r="K1233" i="4"/>
  <c r="E1234" i="4" s="1"/>
  <c r="O1233" i="4"/>
  <c r="D1233" i="4"/>
  <c r="M1233" i="4"/>
  <c r="F1233" i="4"/>
  <c r="B1233" i="4"/>
  <c r="I476" i="4"/>
  <c r="K476" i="4" s="1"/>
  <c r="O476" i="4"/>
  <c r="L476" i="4"/>
  <c r="J476" i="4"/>
  <c r="I302" i="4" l="1"/>
  <c r="H302" i="4"/>
  <c r="A302" i="4"/>
  <c r="M302" i="4"/>
  <c r="G302" i="4"/>
  <c r="F302" i="4"/>
  <c r="N302" i="4"/>
  <c r="C302" i="4"/>
  <c r="B302" i="4"/>
  <c r="D302" i="4"/>
  <c r="J302" i="4"/>
  <c r="O302" i="4"/>
  <c r="L302" i="4"/>
  <c r="K302" i="4"/>
  <c r="E303" i="4" s="1"/>
  <c r="E477" i="4"/>
  <c r="N476" i="4"/>
  <c r="G1234" i="4"/>
  <c r="F1234" i="4"/>
  <c r="C1234" i="4"/>
  <c r="B1234" i="4"/>
  <c r="L1234" i="4"/>
  <c r="O1234" i="4"/>
  <c r="D1234" i="4"/>
  <c r="A1234" i="4"/>
  <c r="N1234" i="4"/>
  <c r="I1234" i="4"/>
  <c r="K1234" i="4"/>
  <c r="E1235" i="4" s="1"/>
  <c r="J1234" i="4"/>
  <c r="M1234" i="4"/>
  <c r="H1234" i="4"/>
  <c r="A817" i="4"/>
  <c r="C817" i="4"/>
  <c r="D817" i="4" s="1"/>
  <c r="H817" i="4" s="1"/>
  <c r="B817" i="4"/>
  <c r="M817" i="4"/>
  <c r="F817" i="4" l="1"/>
  <c r="G817" i="4" s="1"/>
  <c r="C1235" i="4"/>
  <c r="B1235" i="4"/>
  <c r="D1235" i="4"/>
  <c r="I1235" i="4"/>
  <c r="L1235" i="4"/>
  <c r="K1235" i="4"/>
  <c r="E1236" i="4" s="1"/>
  <c r="H1235" i="4"/>
  <c r="O1235" i="4"/>
  <c r="M1235" i="4"/>
  <c r="J1235" i="4"/>
  <c r="G1235" i="4"/>
  <c r="F1235" i="4"/>
  <c r="A1235" i="4"/>
  <c r="N1235" i="4"/>
  <c r="A303" i="4"/>
  <c r="O303" i="4"/>
  <c r="I303" i="4"/>
  <c r="D303" i="4"/>
  <c r="C303" i="4"/>
  <c r="M303" i="4"/>
  <c r="K303" i="4"/>
  <c r="E304" i="4" s="1"/>
  <c r="J303" i="4"/>
  <c r="L303" i="4"/>
  <c r="H303" i="4"/>
  <c r="G303" i="4"/>
  <c r="F303" i="4"/>
  <c r="N303" i="4"/>
  <c r="B303" i="4"/>
  <c r="A477" i="4"/>
  <c r="C477" i="4"/>
  <c r="B477" i="4"/>
  <c r="D477" i="4"/>
  <c r="H477" i="4" s="1"/>
  <c r="M477" i="4"/>
  <c r="F477" i="4" l="1"/>
  <c r="G477" i="4"/>
  <c r="L304" i="4"/>
  <c r="J304" i="4"/>
  <c r="M304" i="4"/>
  <c r="B304" i="4"/>
  <c r="I304" i="4"/>
  <c r="G304" i="4"/>
  <c r="F304" i="4"/>
  <c r="D304" i="4"/>
  <c r="C304" i="4"/>
  <c r="A304" i="4"/>
  <c r="H304" i="4"/>
  <c r="N304" i="4"/>
  <c r="O304" i="4"/>
  <c r="K304" i="4"/>
  <c r="E305" i="4" s="1"/>
  <c r="B1236" i="4"/>
  <c r="H1236" i="4"/>
  <c r="A1236" i="4"/>
  <c r="M1236" i="4"/>
  <c r="O1236" i="4"/>
  <c r="N1236" i="4"/>
  <c r="L1236" i="4"/>
  <c r="K1236" i="4"/>
  <c r="E1237" i="4" s="1"/>
  <c r="J1236" i="4"/>
  <c r="I1236" i="4"/>
  <c r="G1236" i="4"/>
  <c r="D1236" i="4"/>
  <c r="F1236" i="4"/>
  <c r="C1236" i="4"/>
  <c r="I817" i="4"/>
  <c r="K817" i="4" s="1"/>
  <c r="O817" i="4"/>
  <c r="J817" i="4"/>
  <c r="L817" i="4"/>
  <c r="I1237" i="4" l="1"/>
  <c r="F1237" i="4"/>
  <c r="G1237" i="4"/>
  <c r="A1237" i="4"/>
  <c r="L1237" i="4"/>
  <c r="J1237" i="4"/>
  <c r="O1237" i="4"/>
  <c r="C1237" i="4"/>
  <c r="H1237" i="4"/>
  <c r="K1237" i="4"/>
  <c r="E1238" i="4" s="1"/>
  <c r="N1237" i="4"/>
  <c r="D1237" i="4"/>
  <c r="B1237" i="4"/>
  <c r="M1237" i="4"/>
  <c r="E818" i="4"/>
  <c r="N817" i="4"/>
  <c r="L305" i="4"/>
  <c r="G305" i="4"/>
  <c r="M305" i="4"/>
  <c r="F305" i="4"/>
  <c r="K305" i="4"/>
  <c r="E306" i="4" s="1"/>
  <c r="D305" i="4"/>
  <c r="A305" i="4"/>
  <c r="J305" i="4"/>
  <c r="B305" i="4"/>
  <c r="O305" i="4"/>
  <c r="C305" i="4"/>
  <c r="N305" i="4"/>
  <c r="I305" i="4"/>
  <c r="H305" i="4"/>
  <c r="L477" i="4"/>
  <c r="I477" i="4"/>
  <c r="K477" i="4" s="1"/>
  <c r="O477" i="4"/>
  <c r="J477" i="4"/>
  <c r="E478" i="4" l="1"/>
  <c r="N477" i="4"/>
  <c r="B1238" i="4"/>
  <c r="K1238" i="4"/>
  <c r="E1239" i="4" s="1"/>
  <c r="L1238" i="4"/>
  <c r="I1238" i="4"/>
  <c r="M1238" i="4"/>
  <c r="N1238" i="4"/>
  <c r="H1238" i="4"/>
  <c r="D1238" i="4"/>
  <c r="J1238" i="4"/>
  <c r="F1238" i="4"/>
  <c r="A1238" i="4"/>
  <c r="O1238" i="4"/>
  <c r="G1238" i="4"/>
  <c r="C1238" i="4"/>
  <c r="G306" i="4"/>
  <c r="F306" i="4"/>
  <c r="I306" i="4"/>
  <c r="D306" i="4"/>
  <c r="K306" i="4"/>
  <c r="E307" i="4" s="1"/>
  <c r="H306" i="4"/>
  <c r="B306" i="4"/>
  <c r="A306" i="4"/>
  <c r="J306" i="4"/>
  <c r="L306" i="4"/>
  <c r="N306" i="4"/>
  <c r="O306" i="4"/>
  <c r="M306" i="4"/>
  <c r="C306" i="4"/>
  <c r="B818" i="4"/>
  <c r="C818" i="4"/>
  <c r="D818" i="4" s="1"/>
  <c r="H818" i="4" s="1"/>
  <c r="M818" i="4"/>
  <c r="A818" i="4"/>
  <c r="F818" i="4" l="1"/>
  <c r="G818" i="4" s="1"/>
  <c r="M1239" i="4"/>
  <c r="A1239" i="4"/>
  <c r="O1239" i="4"/>
  <c r="N1239" i="4"/>
  <c r="L1239" i="4"/>
  <c r="B1239" i="4"/>
  <c r="J1239" i="4"/>
  <c r="I1239" i="4"/>
  <c r="G1239" i="4"/>
  <c r="K1239" i="4"/>
  <c r="E1240" i="4" s="1"/>
  <c r="H1239" i="4"/>
  <c r="F1239" i="4"/>
  <c r="D1239" i="4"/>
  <c r="C1239" i="4"/>
  <c r="F307" i="4"/>
  <c r="C307" i="4"/>
  <c r="B307" i="4"/>
  <c r="G307" i="4"/>
  <c r="D307" i="4"/>
  <c r="J307" i="4"/>
  <c r="I307" i="4"/>
  <c r="A307" i="4"/>
  <c r="L307" i="4"/>
  <c r="K307" i="4"/>
  <c r="E308" i="4" s="1"/>
  <c r="O307" i="4"/>
  <c r="N307" i="4"/>
  <c r="H307" i="4"/>
  <c r="M307" i="4"/>
  <c r="M478" i="4"/>
  <c r="B478" i="4"/>
  <c r="A478" i="4"/>
  <c r="C478" i="4"/>
  <c r="D478" i="4" s="1"/>
  <c r="H478" i="4" s="1"/>
  <c r="H1240" i="4" l="1"/>
  <c r="G1240" i="4"/>
  <c r="I1240" i="4"/>
  <c r="D1240" i="4"/>
  <c r="N1240" i="4"/>
  <c r="B1240" i="4"/>
  <c r="J1240" i="4"/>
  <c r="F1240" i="4"/>
  <c r="C1240" i="4"/>
  <c r="A1240" i="4"/>
  <c r="O1240" i="4"/>
  <c r="M1240" i="4"/>
  <c r="L1240" i="4"/>
  <c r="K1240" i="4"/>
  <c r="E1241" i="4" s="1"/>
  <c r="F478" i="4"/>
  <c r="J308" i="4"/>
  <c r="I308" i="4"/>
  <c r="H308" i="4"/>
  <c r="B308" i="4"/>
  <c r="M308" i="4"/>
  <c r="C308" i="4"/>
  <c r="F308" i="4"/>
  <c r="A308" i="4"/>
  <c r="G308" i="4"/>
  <c r="K308" i="4"/>
  <c r="E309" i="4" s="1"/>
  <c r="D308" i="4"/>
  <c r="N308" i="4"/>
  <c r="L308" i="4"/>
  <c r="O308" i="4"/>
  <c r="I818" i="4"/>
  <c r="K818" i="4" s="1"/>
  <c r="L818" i="4"/>
  <c r="O818" i="4"/>
  <c r="J818" i="4"/>
  <c r="J309" i="4" l="1"/>
  <c r="I309" i="4"/>
  <c r="F309" i="4"/>
  <c r="D309" i="4"/>
  <c r="C309" i="4"/>
  <c r="A309" i="4"/>
  <c r="K309" i="4"/>
  <c r="E310" i="4" s="1"/>
  <c r="L309" i="4"/>
  <c r="G309" i="4"/>
  <c r="H309" i="4"/>
  <c r="B309" i="4"/>
  <c r="N309" i="4"/>
  <c r="M309" i="4"/>
  <c r="O309" i="4"/>
  <c r="E819" i="4"/>
  <c r="N818" i="4"/>
  <c r="H1241" i="4"/>
  <c r="J1241" i="4"/>
  <c r="I1241" i="4"/>
  <c r="G1241" i="4"/>
  <c r="O1241" i="4"/>
  <c r="D1241" i="4"/>
  <c r="K1241" i="4"/>
  <c r="E1242" i="4" s="1"/>
  <c r="N1241" i="4"/>
  <c r="F1241" i="4"/>
  <c r="C1241" i="4"/>
  <c r="B1241" i="4"/>
  <c r="A1241" i="4"/>
  <c r="L1241" i="4"/>
  <c r="M1241" i="4"/>
  <c r="G478" i="4"/>
  <c r="L478" i="4" s="1"/>
  <c r="C1242" i="4" l="1"/>
  <c r="L1242" i="4"/>
  <c r="B1242" i="4"/>
  <c r="O1242" i="4"/>
  <c r="G1242" i="4"/>
  <c r="M1242" i="4"/>
  <c r="A1242" i="4"/>
  <c r="N1242" i="4"/>
  <c r="F1242" i="4"/>
  <c r="I1242" i="4"/>
  <c r="H1242" i="4"/>
  <c r="K1242" i="4"/>
  <c r="E1243" i="4" s="1"/>
  <c r="D1242" i="4"/>
  <c r="J1242" i="4"/>
  <c r="O478" i="4"/>
  <c r="H310" i="4"/>
  <c r="G310" i="4"/>
  <c r="F310" i="4"/>
  <c r="L310" i="4"/>
  <c r="K310" i="4"/>
  <c r="E311" i="4" s="1"/>
  <c r="D310" i="4"/>
  <c r="C310" i="4"/>
  <c r="A310" i="4"/>
  <c r="B310" i="4"/>
  <c r="O310" i="4"/>
  <c r="N310" i="4"/>
  <c r="M310" i="4"/>
  <c r="J310" i="4"/>
  <c r="I310" i="4"/>
  <c r="J478" i="4"/>
  <c r="I478" i="4"/>
  <c r="K478" i="4" s="1"/>
  <c r="M819" i="4"/>
  <c r="A819" i="4"/>
  <c r="C819" i="4"/>
  <c r="D819" i="4" s="1"/>
  <c r="H819" i="4" s="1"/>
  <c r="B819" i="4"/>
  <c r="F819" i="4" l="1"/>
  <c r="G819" i="4" s="1"/>
  <c r="E479" i="4"/>
  <c r="N478" i="4"/>
  <c r="I1243" i="4"/>
  <c r="D1243" i="4"/>
  <c r="B1243" i="4"/>
  <c r="O1243" i="4"/>
  <c r="H1243" i="4"/>
  <c r="G1243" i="4"/>
  <c r="C1243" i="4"/>
  <c r="N1243" i="4"/>
  <c r="F1243" i="4"/>
  <c r="J1243" i="4"/>
  <c r="A1243" i="4"/>
  <c r="M1243" i="4"/>
  <c r="L1243" i="4"/>
  <c r="K1243" i="4"/>
  <c r="E1244" i="4" s="1"/>
  <c r="J311" i="4"/>
  <c r="G311" i="4"/>
  <c r="H311" i="4"/>
  <c r="F311" i="4"/>
  <c r="I311" i="4"/>
  <c r="A311" i="4"/>
  <c r="L311" i="4"/>
  <c r="K311" i="4"/>
  <c r="E312" i="4" s="1"/>
  <c r="C311" i="4"/>
  <c r="D311" i="4"/>
  <c r="B311" i="4"/>
  <c r="O311" i="4"/>
  <c r="N311" i="4"/>
  <c r="M311" i="4"/>
  <c r="A479" i="4" l="1"/>
  <c r="B479" i="4"/>
  <c r="M479" i="4"/>
  <c r="C479" i="4"/>
  <c r="D479" i="4" s="1"/>
  <c r="H479" i="4" s="1"/>
  <c r="J312" i="4"/>
  <c r="D312" i="4"/>
  <c r="I312" i="4"/>
  <c r="O312" i="4"/>
  <c r="H312" i="4"/>
  <c r="G312" i="4"/>
  <c r="N312" i="4"/>
  <c r="C312" i="4"/>
  <c r="B312" i="4"/>
  <c r="A312" i="4"/>
  <c r="F312" i="4"/>
  <c r="L312" i="4"/>
  <c r="M312" i="4"/>
  <c r="K312" i="4"/>
  <c r="E313" i="4" s="1"/>
  <c r="O1244" i="4"/>
  <c r="I1244" i="4"/>
  <c r="K1244" i="4"/>
  <c r="E1245" i="4" s="1"/>
  <c r="G1244" i="4"/>
  <c r="D1244" i="4"/>
  <c r="M1244" i="4"/>
  <c r="N1244" i="4"/>
  <c r="H1244" i="4"/>
  <c r="C1244" i="4"/>
  <c r="F1244" i="4"/>
  <c r="L1244" i="4"/>
  <c r="J1244" i="4"/>
  <c r="B1244" i="4"/>
  <c r="A1244" i="4"/>
  <c r="L819" i="4"/>
  <c r="O819" i="4"/>
  <c r="I819" i="4"/>
  <c r="K819" i="4" s="1"/>
  <c r="J819" i="4"/>
  <c r="F479" i="4" l="1"/>
  <c r="G313" i="4"/>
  <c r="F313" i="4"/>
  <c r="N313" i="4"/>
  <c r="B313" i="4"/>
  <c r="C313" i="4"/>
  <c r="D313" i="4"/>
  <c r="O313" i="4"/>
  <c r="J313" i="4"/>
  <c r="I313" i="4"/>
  <c r="H313" i="4"/>
  <c r="K313" i="4"/>
  <c r="E314" i="4" s="1"/>
  <c r="A313" i="4"/>
  <c r="M313" i="4"/>
  <c r="L313" i="4"/>
  <c r="F1245" i="4"/>
  <c r="D1245" i="4"/>
  <c r="C1245" i="4"/>
  <c r="B1245" i="4"/>
  <c r="A1245" i="4"/>
  <c r="I1245" i="4"/>
  <c r="M1245" i="4"/>
  <c r="L1245" i="4"/>
  <c r="K1245" i="4"/>
  <c r="E1246" i="4" s="1"/>
  <c r="N1245" i="4"/>
  <c r="H1245" i="4"/>
  <c r="O1245" i="4"/>
  <c r="J1245" i="4"/>
  <c r="G1245" i="4"/>
  <c r="E820" i="4"/>
  <c r="N819" i="4"/>
  <c r="M1246" i="4" l="1"/>
  <c r="I1246" i="4"/>
  <c r="G1246" i="4"/>
  <c r="F1246" i="4"/>
  <c r="B1246" i="4"/>
  <c r="C1246" i="4"/>
  <c r="A1246" i="4"/>
  <c r="H1246" i="4"/>
  <c r="D1246" i="4"/>
  <c r="L1246" i="4"/>
  <c r="K1246" i="4"/>
  <c r="E1247" i="4" s="1"/>
  <c r="J1246" i="4"/>
  <c r="O1246" i="4"/>
  <c r="N1246" i="4"/>
  <c r="O314" i="4"/>
  <c r="I314" i="4"/>
  <c r="A314" i="4"/>
  <c r="F314" i="4"/>
  <c r="B314" i="4"/>
  <c r="M314" i="4"/>
  <c r="C314" i="4"/>
  <c r="D314" i="4"/>
  <c r="K314" i="4"/>
  <c r="E315" i="4" s="1"/>
  <c r="H314" i="4"/>
  <c r="N314" i="4"/>
  <c r="L314" i="4"/>
  <c r="J314" i="4"/>
  <c r="G314" i="4"/>
  <c r="A820" i="4"/>
  <c r="C820" i="4"/>
  <c r="D820" i="4"/>
  <c r="H820" i="4"/>
  <c r="M820" i="4"/>
  <c r="F820" i="4"/>
  <c r="B820" i="4"/>
  <c r="G479" i="4"/>
  <c r="L479" i="4" s="1"/>
  <c r="O479" i="4" l="1"/>
  <c r="K315" i="4"/>
  <c r="E316" i="4" s="1"/>
  <c r="N315" i="4"/>
  <c r="D315" i="4"/>
  <c r="A315" i="4"/>
  <c r="J315" i="4"/>
  <c r="O315" i="4"/>
  <c r="L315" i="4"/>
  <c r="F315" i="4"/>
  <c r="I315" i="4"/>
  <c r="B315" i="4"/>
  <c r="C315" i="4"/>
  <c r="G315" i="4"/>
  <c r="H315" i="4"/>
  <c r="M315" i="4"/>
  <c r="G820" i="4"/>
  <c r="L820" i="4" s="1"/>
  <c r="I820" i="4"/>
  <c r="K820" i="4" s="1"/>
  <c r="J820" i="4"/>
  <c r="J479" i="4"/>
  <c r="I479" i="4"/>
  <c r="K479" i="4" s="1"/>
  <c r="G1247" i="4"/>
  <c r="M1247" i="4"/>
  <c r="L1247" i="4"/>
  <c r="H1247" i="4"/>
  <c r="F1247" i="4"/>
  <c r="K1247" i="4"/>
  <c r="E1248" i="4" s="1"/>
  <c r="A1247" i="4"/>
  <c r="D1247" i="4"/>
  <c r="I1247" i="4"/>
  <c r="C1247" i="4"/>
  <c r="O1247" i="4"/>
  <c r="J1247" i="4"/>
  <c r="N1247" i="4"/>
  <c r="B1247" i="4"/>
  <c r="M1248" i="4" l="1"/>
  <c r="J1248" i="4"/>
  <c r="B1248" i="4"/>
  <c r="A1248" i="4"/>
  <c r="O1248" i="4"/>
  <c r="N1248" i="4"/>
  <c r="H1248" i="4"/>
  <c r="G1248" i="4"/>
  <c r="I1248" i="4"/>
  <c r="D1248" i="4"/>
  <c r="C1248" i="4"/>
  <c r="L1248" i="4"/>
  <c r="K1248" i="4"/>
  <c r="E1249" i="4" s="1"/>
  <c r="F1248" i="4"/>
  <c r="E480" i="4"/>
  <c r="N479" i="4"/>
  <c r="E821" i="4"/>
  <c r="N820" i="4"/>
  <c r="O820" i="4"/>
  <c r="L316" i="4"/>
  <c r="K316" i="4"/>
  <c r="E317" i="4" s="1"/>
  <c r="J316" i="4"/>
  <c r="I316" i="4"/>
  <c r="C316" i="4"/>
  <c r="H316" i="4"/>
  <c r="O316" i="4"/>
  <c r="N316" i="4"/>
  <c r="A316" i="4"/>
  <c r="G316" i="4"/>
  <c r="F316" i="4"/>
  <c r="D316" i="4"/>
  <c r="M316" i="4"/>
  <c r="B316" i="4"/>
  <c r="K317" i="4" l="1"/>
  <c r="E318" i="4" s="1"/>
  <c r="J317" i="4"/>
  <c r="B317" i="4"/>
  <c r="A317" i="4"/>
  <c r="L317" i="4"/>
  <c r="I317" i="4"/>
  <c r="C317" i="4"/>
  <c r="G317" i="4"/>
  <c r="D317" i="4"/>
  <c r="H317" i="4"/>
  <c r="F317" i="4"/>
  <c r="O317" i="4"/>
  <c r="N317" i="4"/>
  <c r="M317" i="4"/>
  <c r="M821" i="4"/>
  <c r="A821" i="4"/>
  <c r="B821" i="4"/>
  <c r="C821" i="4"/>
  <c r="D821" i="4" s="1"/>
  <c r="H821" i="4" s="1"/>
  <c r="C1249" i="4"/>
  <c r="B1249" i="4"/>
  <c r="I1249" i="4"/>
  <c r="N1249" i="4"/>
  <c r="M1249" i="4"/>
  <c r="A1249" i="4"/>
  <c r="H1249" i="4"/>
  <c r="F1249" i="4"/>
  <c r="D1249" i="4"/>
  <c r="K1249" i="4"/>
  <c r="E1250" i="4" s="1"/>
  <c r="J1249" i="4"/>
  <c r="G1249" i="4"/>
  <c r="O1249" i="4"/>
  <c r="L1249" i="4"/>
  <c r="M480" i="4"/>
  <c r="C480" i="4"/>
  <c r="D480" i="4" s="1"/>
  <c r="H480" i="4" s="1"/>
  <c r="A480" i="4"/>
  <c r="B480" i="4"/>
  <c r="F480" i="4" l="1"/>
  <c r="F821" i="4"/>
  <c r="G821" i="4"/>
  <c r="D1250" i="4"/>
  <c r="G1250" i="4"/>
  <c r="I1250" i="4"/>
  <c r="C1250" i="4"/>
  <c r="K1250" i="4"/>
  <c r="E1251" i="4" s="1"/>
  <c r="H1250" i="4"/>
  <c r="M1250" i="4"/>
  <c r="L1250" i="4"/>
  <c r="B1250" i="4"/>
  <c r="A1250" i="4"/>
  <c r="F1250" i="4"/>
  <c r="J1250" i="4"/>
  <c r="O1250" i="4"/>
  <c r="N1250" i="4"/>
  <c r="B318" i="4"/>
  <c r="N318" i="4"/>
  <c r="M318" i="4"/>
  <c r="C318" i="4"/>
  <c r="D318" i="4"/>
  <c r="A318" i="4"/>
  <c r="L318" i="4"/>
  <c r="K318" i="4"/>
  <c r="E319" i="4" s="1"/>
  <c r="I318" i="4"/>
  <c r="F318" i="4"/>
  <c r="O318" i="4"/>
  <c r="G318" i="4"/>
  <c r="J318" i="4"/>
  <c r="H318" i="4"/>
  <c r="J821" i="4" l="1"/>
  <c r="L821" i="4"/>
  <c r="O821" i="4"/>
  <c r="I821" i="4"/>
  <c r="K821" i="4" s="1"/>
  <c r="F319" i="4"/>
  <c r="D319" i="4"/>
  <c r="B319" i="4"/>
  <c r="J319" i="4"/>
  <c r="L319" i="4"/>
  <c r="K319" i="4"/>
  <c r="E320" i="4" s="1"/>
  <c r="G319" i="4"/>
  <c r="I319" i="4"/>
  <c r="O319" i="4"/>
  <c r="A319" i="4"/>
  <c r="C319" i="4"/>
  <c r="H319" i="4"/>
  <c r="N319" i="4"/>
  <c r="M319" i="4"/>
  <c r="H1251" i="4"/>
  <c r="D1251" i="4"/>
  <c r="C1251" i="4"/>
  <c r="B1251" i="4"/>
  <c r="A1251" i="4"/>
  <c r="O1251" i="4"/>
  <c r="N1251" i="4"/>
  <c r="G1251" i="4"/>
  <c r="K1251" i="4"/>
  <c r="E1252" i="4" s="1"/>
  <c r="I1251" i="4"/>
  <c r="F1251" i="4"/>
  <c r="M1251" i="4"/>
  <c r="L1251" i="4"/>
  <c r="J1251" i="4"/>
  <c r="G480" i="4"/>
  <c r="O480" i="4" s="1"/>
  <c r="D320" i="4" l="1"/>
  <c r="M320" i="4"/>
  <c r="H320" i="4"/>
  <c r="G320" i="4"/>
  <c r="B320" i="4"/>
  <c r="L320" i="4"/>
  <c r="J320" i="4"/>
  <c r="N320" i="4"/>
  <c r="I320" i="4"/>
  <c r="C320" i="4"/>
  <c r="K320" i="4"/>
  <c r="E321" i="4" s="1"/>
  <c r="A320" i="4"/>
  <c r="O320" i="4"/>
  <c r="F320" i="4"/>
  <c r="I480" i="4"/>
  <c r="K480" i="4" s="1"/>
  <c r="L480" i="4"/>
  <c r="J480" i="4"/>
  <c r="E822" i="4"/>
  <c r="N821" i="4"/>
  <c r="G1252" i="4"/>
  <c r="C1252" i="4"/>
  <c r="L1252" i="4"/>
  <c r="F1252" i="4"/>
  <c r="D1252" i="4"/>
  <c r="O1252" i="4"/>
  <c r="H1252" i="4"/>
  <c r="A1252" i="4"/>
  <c r="B1252" i="4"/>
  <c r="K1252" i="4"/>
  <c r="E1253" i="4" s="1"/>
  <c r="J1252" i="4"/>
  <c r="I1252" i="4"/>
  <c r="N1252" i="4"/>
  <c r="M1252" i="4"/>
  <c r="I321" i="4" l="1"/>
  <c r="N321" i="4"/>
  <c r="M321" i="4"/>
  <c r="L321" i="4"/>
  <c r="G321" i="4"/>
  <c r="D321" i="4"/>
  <c r="B321" i="4"/>
  <c r="H321" i="4"/>
  <c r="K321" i="4"/>
  <c r="E322" i="4" s="1"/>
  <c r="C321" i="4"/>
  <c r="F321" i="4"/>
  <c r="A321" i="4"/>
  <c r="O321" i="4"/>
  <c r="J321" i="4"/>
  <c r="B822" i="4"/>
  <c r="M822" i="4"/>
  <c r="C822" i="4"/>
  <c r="D822" i="4" s="1"/>
  <c r="H822" i="4" s="1"/>
  <c r="A822" i="4"/>
  <c r="I1253" i="4"/>
  <c r="L1253" i="4"/>
  <c r="K1253" i="4"/>
  <c r="E1254" i="4" s="1"/>
  <c r="J1253" i="4"/>
  <c r="G1253" i="4"/>
  <c r="D1253" i="4"/>
  <c r="F1253" i="4"/>
  <c r="N1253" i="4"/>
  <c r="A1253" i="4"/>
  <c r="M1253" i="4"/>
  <c r="H1253" i="4"/>
  <c r="C1253" i="4"/>
  <c r="O1253" i="4"/>
  <c r="B1253" i="4"/>
  <c r="E481" i="4"/>
  <c r="N480" i="4"/>
  <c r="F822" i="4" l="1"/>
  <c r="A322" i="4"/>
  <c r="B322" i="4"/>
  <c r="G322" i="4"/>
  <c r="O322" i="4"/>
  <c r="N322" i="4"/>
  <c r="L322" i="4"/>
  <c r="H322" i="4"/>
  <c r="K322" i="4"/>
  <c r="E323" i="4" s="1"/>
  <c r="C322" i="4"/>
  <c r="M322" i="4"/>
  <c r="J322" i="4"/>
  <c r="I322" i="4"/>
  <c r="F322" i="4"/>
  <c r="D322" i="4"/>
  <c r="F1254" i="4"/>
  <c r="D1254" i="4"/>
  <c r="I1254" i="4"/>
  <c r="N1254" i="4"/>
  <c r="O1254" i="4"/>
  <c r="M1254" i="4"/>
  <c r="L1254" i="4"/>
  <c r="C1254" i="4"/>
  <c r="H1254" i="4"/>
  <c r="B1254" i="4"/>
  <c r="K1254" i="4"/>
  <c r="E1255" i="4" s="1"/>
  <c r="G1254" i="4"/>
  <c r="J1254" i="4"/>
  <c r="A1254" i="4"/>
  <c r="B481" i="4"/>
  <c r="A481" i="4"/>
  <c r="M481" i="4"/>
  <c r="C481" i="4"/>
  <c r="D481" i="4" s="1"/>
  <c r="H481" i="4" s="1"/>
  <c r="F481" i="4" l="1"/>
  <c r="F323" i="4"/>
  <c r="C323" i="4"/>
  <c r="O323" i="4"/>
  <c r="N323" i="4"/>
  <c r="M323" i="4"/>
  <c r="B323" i="4"/>
  <c r="J323" i="4"/>
  <c r="A323" i="4"/>
  <c r="H323" i="4"/>
  <c r="L323" i="4"/>
  <c r="G323" i="4"/>
  <c r="D323" i="4"/>
  <c r="K323" i="4"/>
  <c r="E324" i="4" s="1"/>
  <c r="I323" i="4"/>
  <c r="D1255" i="4"/>
  <c r="B1255" i="4"/>
  <c r="F1255" i="4"/>
  <c r="I1255" i="4"/>
  <c r="H1255" i="4"/>
  <c r="A1255" i="4"/>
  <c r="G1255" i="4"/>
  <c r="J1255" i="4"/>
  <c r="C1255" i="4"/>
  <c r="O1255" i="4"/>
  <c r="K1255" i="4"/>
  <c r="E1256" i="4" s="1"/>
  <c r="N1255" i="4"/>
  <c r="M1255" i="4"/>
  <c r="L1255" i="4"/>
  <c r="G822" i="4"/>
  <c r="O822" i="4" s="1"/>
  <c r="J822" i="4" l="1"/>
  <c r="L822" i="4"/>
  <c r="I822" i="4"/>
  <c r="K822" i="4" s="1"/>
  <c r="K1256" i="4"/>
  <c r="E1257" i="4" s="1"/>
  <c r="F1256" i="4"/>
  <c r="I1256" i="4"/>
  <c r="C1256" i="4"/>
  <c r="J1256" i="4"/>
  <c r="B1256" i="4"/>
  <c r="O1256" i="4"/>
  <c r="G1256" i="4"/>
  <c r="D1256" i="4"/>
  <c r="L1256" i="4"/>
  <c r="M1256" i="4"/>
  <c r="A1256" i="4"/>
  <c r="H1256" i="4"/>
  <c r="N1256" i="4"/>
  <c r="K324" i="4"/>
  <c r="E325" i="4" s="1"/>
  <c r="N324" i="4"/>
  <c r="H324" i="4"/>
  <c r="F324" i="4"/>
  <c r="B324" i="4"/>
  <c r="L324" i="4"/>
  <c r="J324" i="4"/>
  <c r="M324" i="4"/>
  <c r="C324" i="4"/>
  <c r="O324" i="4"/>
  <c r="G324" i="4"/>
  <c r="D324" i="4"/>
  <c r="A324" i="4"/>
  <c r="I324" i="4"/>
  <c r="G481" i="4"/>
  <c r="L481" i="4" s="1"/>
  <c r="J481" i="4" l="1"/>
  <c r="E823" i="4"/>
  <c r="N822" i="4"/>
  <c r="J325" i="4"/>
  <c r="F325" i="4"/>
  <c r="C325" i="4"/>
  <c r="N325" i="4"/>
  <c r="M325" i="4"/>
  <c r="K325" i="4"/>
  <c r="E326" i="4" s="1"/>
  <c r="I325" i="4"/>
  <c r="A325" i="4"/>
  <c r="O325" i="4"/>
  <c r="L325" i="4"/>
  <c r="H325" i="4"/>
  <c r="G325" i="4"/>
  <c r="D325" i="4"/>
  <c r="B325" i="4"/>
  <c r="L1257" i="4"/>
  <c r="G1257" i="4"/>
  <c r="D1257" i="4"/>
  <c r="B1257" i="4"/>
  <c r="N1257" i="4"/>
  <c r="J1257" i="4"/>
  <c r="H1257" i="4"/>
  <c r="C1257" i="4"/>
  <c r="O1257" i="4"/>
  <c r="A1257" i="4"/>
  <c r="M1257" i="4"/>
  <c r="K1257" i="4"/>
  <c r="E1258" i="4" s="1"/>
  <c r="I1257" i="4"/>
  <c r="F1257" i="4"/>
  <c r="O481" i="4"/>
  <c r="I481" i="4"/>
  <c r="K481" i="4" s="1"/>
  <c r="E482" i="4" l="1"/>
  <c r="N481" i="4"/>
  <c r="G326" i="4"/>
  <c r="F326" i="4"/>
  <c r="C326" i="4"/>
  <c r="D326" i="4"/>
  <c r="N326" i="4"/>
  <c r="M326" i="4"/>
  <c r="J326" i="4"/>
  <c r="H326" i="4"/>
  <c r="B326" i="4"/>
  <c r="A326" i="4"/>
  <c r="O326" i="4"/>
  <c r="L326" i="4"/>
  <c r="K326" i="4"/>
  <c r="E327" i="4" s="1"/>
  <c r="I326" i="4"/>
  <c r="A823" i="4"/>
  <c r="M823" i="4"/>
  <c r="C823" i="4"/>
  <c r="D823" i="4" s="1"/>
  <c r="H823" i="4" s="1"/>
  <c r="B823" i="4"/>
  <c r="D1258" i="4"/>
  <c r="B1258" i="4"/>
  <c r="O1258" i="4"/>
  <c r="K1258" i="4"/>
  <c r="E1259" i="4" s="1"/>
  <c r="A1258" i="4"/>
  <c r="N1258" i="4"/>
  <c r="H1258" i="4"/>
  <c r="M1258" i="4"/>
  <c r="L1258" i="4"/>
  <c r="J1258" i="4"/>
  <c r="I1258" i="4"/>
  <c r="C1258" i="4"/>
  <c r="F1258" i="4"/>
  <c r="G1258" i="4"/>
  <c r="F823" i="4" l="1"/>
  <c r="F1259" i="4"/>
  <c r="N1259" i="4"/>
  <c r="M1259" i="4"/>
  <c r="L1259" i="4"/>
  <c r="K1259" i="4"/>
  <c r="E1260" i="4" s="1"/>
  <c r="I1259" i="4"/>
  <c r="J1259" i="4"/>
  <c r="D1259" i="4"/>
  <c r="B1259" i="4"/>
  <c r="O1259" i="4"/>
  <c r="A1259" i="4"/>
  <c r="C1259" i="4"/>
  <c r="H1259" i="4"/>
  <c r="G1259" i="4"/>
  <c r="N327" i="4"/>
  <c r="D327" i="4"/>
  <c r="A327" i="4"/>
  <c r="J327" i="4"/>
  <c r="H327" i="4"/>
  <c r="O327" i="4"/>
  <c r="M327" i="4"/>
  <c r="L327" i="4"/>
  <c r="K327" i="4"/>
  <c r="E328" i="4" s="1"/>
  <c r="B327" i="4"/>
  <c r="C327" i="4"/>
  <c r="F327" i="4"/>
  <c r="G327" i="4"/>
  <c r="I327" i="4"/>
  <c r="C482" i="4"/>
  <c r="A482" i="4"/>
  <c r="D482" i="4"/>
  <c r="H482" i="4"/>
  <c r="F482" i="4"/>
  <c r="B482" i="4"/>
  <c r="M482" i="4"/>
  <c r="G482" i="4" l="1"/>
  <c r="J482" i="4"/>
  <c r="O482" i="4"/>
  <c r="K328" i="4"/>
  <c r="E329" i="4" s="1"/>
  <c r="H328" i="4"/>
  <c r="B328" i="4"/>
  <c r="N328" i="4"/>
  <c r="J328" i="4"/>
  <c r="I328" i="4"/>
  <c r="O328" i="4"/>
  <c r="G328" i="4"/>
  <c r="C328" i="4"/>
  <c r="A328" i="4"/>
  <c r="F328" i="4"/>
  <c r="M328" i="4"/>
  <c r="L328" i="4"/>
  <c r="D328" i="4"/>
  <c r="I482" i="4"/>
  <c r="K482" i="4" s="1"/>
  <c r="L482" i="4"/>
  <c r="A1260" i="4"/>
  <c r="I1260" i="4"/>
  <c r="H1260" i="4"/>
  <c r="O1260" i="4"/>
  <c r="M1260" i="4"/>
  <c r="G1260" i="4"/>
  <c r="K1260" i="4"/>
  <c r="E1261" i="4" s="1"/>
  <c r="L1260" i="4"/>
  <c r="C1260" i="4"/>
  <c r="B1260" i="4"/>
  <c r="F1260" i="4"/>
  <c r="D1260" i="4"/>
  <c r="N1260" i="4"/>
  <c r="J1260" i="4"/>
  <c r="G823" i="4"/>
  <c r="I823" i="4" s="1"/>
  <c r="K823" i="4" s="1"/>
  <c r="E824" i="4" l="1"/>
  <c r="N823" i="4"/>
  <c r="F1261" i="4"/>
  <c r="D1261" i="4"/>
  <c r="A1261" i="4"/>
  <c r="B1261" i="4"/>
  <c r="K1261" i="4"/>
  <c r="E1262" i="4" s="1"/>
  <c r="O1261" i="4"/>
  <c r="N1261" i="4"/>
  <c r="I1261" i="4"/>
  <c r="G1261" i="4"/>
  <c r="L1261" i="4"/>
  <c r="C1261" i="4"/>
  <c r="M1261" i="4"/>
  <c r="J1261" i="4"/>
  <c r="H1261" i="4"/>
  <c r="L823" i="4"/>
  <c r="O823" i="4"/>
  <c r="J823" i="4"/>
  <c r="E483" i="4"/>
  <c r="N482" i="4"/>
  <c r="N329" i="4"/>
  <c r="D329" i="4"/>
  <c r="B329" i="4"/>
  <c r="G329" i="4"/>
  <c r="F329" i="4"/>
  <c r="L329" i="4"/>
  <c r="K329" i="4"/>
  <c r="E330" i="4" s="1"/>
  <c r="H329" i="4"/>
  <c r="O329" i="4"/>
  <c r="M329" i="4"/>
  <c r="C329" i="4"/>
  <c r="A329" i="4"/>
  <c r="J329" i="4"/>
  <c r="I329" i="4"/>
  <c r="O330" i="4" l="1"/>
  <c r="D330" i="4"/>
  <c r="H330" i="4"/>
  <c r="N330" i="4"/>
  <c r="L330" i="4"/>
  <c r="M330" i="4"/>
  <c r="F330" i="4"/>
  <c r="K330" i="4"/>
  <c r="E331" i="4" s="1"/>
  <c r="C330" i="4"/>
  <c r="B330" i="4"/>
  <c r="I330" i="4"/>
  <c r="G330" i="4"/>
  <c r="J330" i="4"/>
  <c r="A330" i="4"/>
  <c r="C483" i="4"/>
  <c r="B483" i="4"/>
  <c r="A483" i="4"/>
  <c r="M483" i="4"/>
  <c r="D483" i="4"/>
  <c r="H483" i="4" s="1"/>
  <c r="A1262" i="4"/>
  <c r="F1262" i="4"/>
  <c r="J1262" i="4"/>
  <c r="C1262" i="4"/>
  <c r="N1262" i="4"/>
  <c r="O1262" i="4"/>
  <c r="M1262" i="4"/>
  <c r="I1262" i="4"/>
  <c r="H1262" i="4"/>
  <c r="D1262" i="4"/>
  <c r="L1262" i="4"/>
  <c r="K1262" i="4"/>
  <c r="E1263" i="4" s="1"/>
  <c r="G1262" i="4"/>
  <c r="B1262" i="4"/>
  <c r="A824" i="4"/>
  <c r="M824" i="4"/>
  <c r="B824" i="4"/>
  <c r="C824" i="4"/>
  <c r="D824" i="4" s="1"/>
  <c r="H824" i="4" s="1"/>
  <c r="F824" i="4" l="1"/>
  <c r="G824" i="4" s="1"/>
  <c r="F483" i="4"/>
  <c r="L1263" i="4"/>
  <c r="K1263" i="4"/>
  <c r="E1264" i="4" s="1"/>
  <c r="J1263" i="4"/>
  <c r="O1263" i="4"/>
  <c r="N1263" i="4"/>
  <c r="I1263" i="4"/>
  <c r="C1263" i="4"/>
  <c r="D1263" i="4"/>
  <c r="B1263" i="4"/>
  <c r="A1263" i="4"/>
  <c r="H1263" i="4"/>
  <c r="G1263" i="4"/>
  <c r="F1263" i="4"/>
  <c r="M1263" i="4"/>
  <c r="F331" i="4"/>
  <c r="C331" i="4"/>
  <c r="A331" i="4"/>
  <c r="I331" i="4"/>
  <c r="B331" i="4"/>
  <c r="D331" i="4"/>
  <c r="J331" i="4"/>
  <c r="L331" i="4"/>
  <c r="H331" i="4"/>
  <c r="G331" i="4"/>
  <c r="K331" i="4"/>
  <c r="E332" i="4" s="1"/>
  <c r="O331" i="4"/>
  <c r="M331" i="4"/>
  <c r="N331" i="4"/>
  <c r="N1264" i="4" l="1"/>
  <c r="C1264" i="4"/>
  <c r="M1264" i="4"/>
  <c r="H1264" i="4"/>
  <c r="D1264" i="4"/>
  <c r="K1264" i="4"/>
  <c r="E1265" i="4" s="1"/>
  <c r="J1264" i="4"/>
  <c r="B1264" i="4"/>
  <c r="A1264" i="4"/>
  <c r="F1264" i="4"/>
  <c r="I1264" i="4"/>
  <c r="G1264" i="4"/>
  <c r="L1264" i="4"/>
  <c r="O1264" i="4"/>
  <c r="G483" i="4"/>
  <c r="I483" i="4" s="1"/>
  <c r="K483" i="4" s="1"/>
  <c r="G332" i="4"/>
  <c r="M332" i="4"/>
  <c r="I332" i="4"/>
  <c r="F332" i="4"/>
  <c r="J332" i="4"/>
  <c r="C332" i="4"/>
  <c r="H332" i="4"/>
  <c r="B332" i="4"/>
  <c r="K332" i="4"/>
  <c r="E333" i="4" s="1"/>
  <c r="D332" i="4"/>
  <c r="L332" i="4"/>
  <c r="A332" i="4"/>
  <c r="O332" i="4"/>
  <c r="N332" i="4"/>
  <c r="O824" i="4"/>
  <c r="J824" i="4"/>
  <c r="L824" i="4"/>
  <c r="I824" i="4"/>
  <c r="K824" i="4" s="1"/>
  <c r="E484" i="4" l="1"/>
  <c r="N483" i="4"/>
  <c r="A1265" i="4"/>
  <c r="M1265" i="4"/>
  <c r="C1265" i="4"/>
  <c r="H1265" i="4"/>
  <c r="K1265" i="4"/>
  <c r="E1266" i="4" s="1"/>
  <c r="J1265" i="4"/>
  <c r="I1265" i="4"/>
  <c r="B1265" i="4"/>
  <c r="F1265" i="4"/>
  <c r="G1265" i="4"/>
  <c r="L1265" i="4"/>
  <c r="D1265" i="4"/>
  <c r="O1265" i="4"/>
  <c r="N1265" i="4"/>
  <c r="J333" i="4"/>
  <c r="C333" i="4"/>
  <c r="O333" i="4"/>
  <c r="D333" i="4"/>
  <c r="N333" i="4"/>
  <c r="M333" i="4"/>
  <c r="L333" i="4"/>
  <c r="K333" i="4"/>
  <c r="E334" i="4" s="1"/>
  <c r="H333" i="4"/>
  <c r="F333" i="4"/>
  <c r="G333" i="4"/>
  <c r="A333" i="4"/>
  <c r="I333" i="4"/>
  <c r="B333" i="4"/>
  <c r="J483" i="4"/>
  <c r="E825" i="4"/>
  <c r="N824" i="4"/>
  <c r="L483" i="4"/>
  <c r="O483" i="4"/>
  <c r="F334" i="4" l="1"/>
  <c r="B334" i="4"/>
  <c r="L334" i="4"/>
  <c r="K334" i="4"/>
  <c r="E335" i="4" s="1"/>
  <c r="O334" i="4"/>
  <c r="C334" i="4"/>
  <c r="A334" i="4"/>
  <c r="M334" i="4"/>
  <c r="I334" i="4"/>
  <c r="D334" i="4"/>
  <c r="N334" i="4"/>
  <c r="J334" i="4"/>
  <c r="H334" i="4"/>
  <c r="G334" i="4"/>
  <c r="C825" i="4"/>
  <c r="B825" i="4"/>
  <c r="A825" i="4"/>
  <c r="M825" i="4"/>
  <c r="D825" i="4"/>
  <c r="H825" i="4" s="1"/>
  <c r="N1266" i="4"/>
  <c r="M1266" i="4"/>
  <c r="D1266" i="4"/>
  <c r="C1266" i="4"/>
  <c r="A1266" i="4"/>
  <c r="K1266" i="4"/>
  <c r="E1267" i="4" s="1"/>
  <c r="J1266" i="4"/>
  <c r="H1266" i="4"/>
  <c r="G1266" i="4"/>
  <c r="F1266" i="4"/>
  <c r="O1266" i="4"/>
  <c r="B1266" i="4"/>
  <c r="L1266" i="4"/>
  <c r="I1266" i="4"/>
  <c r="C484" i="4"/>
  <c r="D484" i="4" s="1"/>
  <c r="H484" i="4" s="1"/>
  <c r="B484" i="4"/>
  <c r="A484" i="4"/>
  <c r="M484" i="4"/>
  <c r="F484" i="4" l="1"/>
  <c r="F825" i="4"/>
  <c r="D1267" i="4"/>
  <c r="M1267" i="4"/>
  <c r="H1267" i="4"/>
  <c r="O1267" i="4"/>
  <c r="J1267" i="4"/>
  <c r="C1267" i="4"/>
  <c r="B1267" i="4"/>
  <c r="G1267" i="4"/>
  <c r="L1267" i="4"/>
  <c r="F1267" i="4"/>
  <c r="A1267" i="4"/>
  <c r="K1267" i="4"/>
  <c r="E1268" i="4" s="1"/>
  <c r="I1267" i="4"/>
  <c r="N1267" i="4"/>
  <c r="C335" i="4"/>
  <c r="B335" i="4"/>
  <c r="K335" i="4"/>
  <c r="E336" i="4" s="1"/>
  <c r="G335" i="4"/>
  <c r="H335" i="4"/>
  <c r="D335" i="4"/>
  <c r="O335" i="4"/>
  <c r="A335" i="4"/>
  <c r="I335" i="4"/>
  <c r="J335" i="4"/>
  <c r="F335" i="4"/>
  <c r="L335" i="4"/>
  <c r="N335" i="4"/>
  <c r="M335" i="4"/>
  <c r="G825" i="4" l="1"/>
  <c r="L825" i="4" s="1"/>
  <c r="B336" i="4"/>
  <c r="A336" i="4"/>
  <c r="L336" i="4"/>
  <c r="O336" i="4"/>
  <c r="M336" i="4"/>
  <c r="H336" i="4"/>
  <c r="K336" i="4"/>
  <c r="E337" i="4" s="1"/>
  <c r="G336" i="4"/>
  <c r="J336" i="4"/>
  <c r="D336" i="4"/>
  <c r="N336" i="4"/>
  <c r="F336" i="4"/>
  <c r="I336" i="4"/>
  <c r="C336" i="4"/>
  <c r="G1268" i="4"/>
  <c r="F1268" i="4"/>
  <c r="D1268" i="4"/>
  <c r="L1268" i="4"/>
  <c r="K1268" i="4"/>
  <c r="E1269" i="4" s="1"/>
  <c r="H1268" i="4"/>
  <c r="J1268" i="4"/>
  <c r="I1268" i="4"/>
  <c r="O1268" i="4"/>
  <c r="M1268" i="4"/>
  <c r="C1268" i="4"/>
  <c r="B1268" i="4"/>
  <c r="N1268" i="4"/>
  <c r="A1268" i="4"/>
  <c r="G484" i="4"/>
  <c r="O484" i="4" s="1"/>
  <c r="N1269" i="4" l="1"/>
  <c r="O1269" i="4"/>
  <c r="I1269" i="4"/>
  <c r="F1269" i="4"/>
  <c r="D1269" i="4"/>
  <c r="B1269" i="4"/>
  <c r="G1269" i="4"/>
  <c r="C1269" i="4"/>
  <c r="H1269" i="4"/>
  <c r="M1269" i="4"/>
  <c r="L1269" i="4"/>
  <c r="K1269" i="4"/>
  <c r="E1270" i="4" s="1"/>
  <c r="J1269" i="4"/>
  <c r="A1269" i="4"/>
  <c r="J484" i="4"/>
  <c r="L484" i="4"/>
  <c r="O825" i="4"/>
  <c r="I484" i="4"/>
  <c r="K484" i="4" s="1"/>
  <c r="J825" i="4"/>
  <c r="I825" i="4"/>
  <c r="K825" i="4" s="1"/>
  <c r="F337" i="4"/>
  <c r="M337" i="4"/>
  <c r="K337" i="4"/>
  <c r="E338" i="4" s="1"/>
  <c r="G337" i="4"/>
  <c r="D337" i="4"/>
  <c r="A337" i="4"/>
  <c r="L337" i="4"/>
  <c r="I337" i="4"/>
  <c r="O337" i="4"/>
  <c r="N337" i="4"/>
  <c r="J337" i="4"/>
  <c r="B337" i="4"/>
  <c r="H337" i="4"/>
  <c r="C337" i="4"/>
  <c r="K338" i="4" l="1"/>
  <c r="E339" i="4" s="1"/>
  <c r="H338" i="4"/>
  <c r="G338" i="4"/>
  <c r="B338" i="4"/>
  <c r="O338" i="4"/>
  <c r="M338" i="4"/>
  <c r="I338" i="4"/>
  <c r="N338" i="4"/>
  <c r="A338" i="4"/>
  <c r="C338" i="4"/>
  <c r="L338" i="4"/>
  <c r="J338" i="4"/>
  <c r="D338" i="4"/>
  <c r="F338" i="4"/>
  <c r="A1270" i="4"/>
  <c r="I1270" i="4"/>
  <c r="O1270" i="4"/>
  <c r="N1270" i="4"/>
  <c r="C1270" i="4"/>
  <c r="B1270" i="4"/>
  <c r="L1270" i="4"/>
  <c r="H1270" i="4"/>
  <c r="M1270" i="4"/>
  <c r="J1270" i="4"/>
  <c r="K1270" i="4"/>
  <c r="E1271" i="4" s="1"/>
  <c r="G1270" i="4"/>
  <c r="F1270" i="4"/>
  <c r="D1270" i="4"/>
  <c r="E826" i="4"/>
  <c r="N825" i="4"/>
  <c r="E485" i="4"/>
  <c r="N484" i="4"/>
  <c r="G1271" i="4" l="1"/>
  <c r="D1271" i="4"/>
  <c r="M1271" i="4"/>
  <c r="O1271" i="4"/>
  <c r="H1271" i="4"/>
  <c r="K1271" i="4"/>
  <c r="E1272" i="4" s="1"/>
  <c r="L1271" i="4"/>
  <c r="I1271" i="4"/>
  <c r="A1271" i="4"/>
  <c r="J1271" i="4"/>
  <c r="F1271" i="4"/>
  <c r="N1271" i="4"/>
  <c r="C1271" i="4"/>
  <c r="B1271" i="4"/>
  <c r="A485" i="4"/>
  <c r="C485" i="4"/>
  <c r="D485" i="4" s="1"/>
  <c r="H485" i="4" s="1"/>
  <c r="M485" i="4"/>
  <c r="B485" i="4"/>
  <c r="C826" i="4"/>
  <c r="D826" i="4" s="1"/>
  <c r="H826" i="4" s="1"/>
  <c r="M826" i="4"/>
  <c r="A826" i="4"/>
  <c r="B826" i="4"/>
  <c r="I339" i="4"/>
  <c r="H339" i="4"/>
  <c r="G339" i="4"/>
  <c r="F339" i="4"/>
  <c r="O339" i="4"/>
  <c r="B339" i="4"/>
  <c r="N339" i="4"/>
  <c r="M339" i="4"/>
  <c r="L339" i="4"/>
  <c r="A339" i="4"/>
  <c r="D339" i="4"/>
  <c r="C339" i="4"/>
  <c r="K339" i="4"/>
  <c r="E340" i="4" s="1"/>
  <c r="J339" i="4"/>
  <c r="F826" i="4" l="1"/>
  <c r="G826" i="4" s="1"/>
  <c r="F485" i="4"/>
  <c r="A1272" i="4"/>
  <c r="J1272" i="4"/>
  <c r="M1272" i="4"/>
  <c r="D1272" i="4"/>
  <c r="C1272" i="4"/>
  <c r="L1272" i="4"/>
  <c r="I1272" i="4"/>
  <c r="O1272" i="4"/>
  <c r="N1272" i="4"/>
  <c r="G1272" i="4"/>
  <c r="K1272" i="4"/>
  <c r="E1273" i="4" s="1"/>
  <c r="H1272" i="4"/>
  <c r="F1272" i="4"/>
  <c r="B1272" i="4"/>
  <c r="J340" i="4"/>
  <c r="B340" i="4"/>
  <c r="A340" i="4"/>
  <c r="O340" i="4"/>
  <c r="I340" i="4"/>
  <c r="F340" i="4"/>
  <c r="H340" i="4"/>
  <c r="C340" i="4"/>
  <c r="D340" i="4"/>
  <c r="L340" i="4"/>
  <c r="G340" i="4"/>
  <c r="N340" i="4"/>
  <c r="M340" i="4"/>
  <c r="K340" i="4"/>
  <c r="E341" i="4" s="1"/>
  <c r="B1273" i="4" l="1"/>
  <c r="A1273" i="4"/>
  <c r="I1273" i="4"/>
  <c r="M1273" i="4"/>
  <c r="L1273" i="4"/>
  <c r="H1273" i="4"/>
  <c r="C1273" i="4"/>
  <c r="K1273" i="4"/>
  <c r="E1274" i="4" s="1"/>
  <c r="J1273" i="4"/>
  <c r="G1273" i="4"/>
  <c r="F1273" i="4"/>
  <c r="O1273" i="4"/>
  <c r="N1273" i="4"/>
  <c r="D1273" i="4"/>
  <c r="G485" i="4"/>
  <c r="O485" i="4" s="1"/>
  <c r="B341" i="4"/>
  <c r="G341" i="4"/>
  <c r="A341" i="4"/>
  <c r="M341" i="4"/>
  <c r="H341" i="4"/>
  <c r="F341" i="4"/>
  <c r="D341" i="4"/>
  <c r="C341" i="4"/>
  <c r="O341" i="4"/>
  <c r="N341" i="4"/>
  <c r="L341" i="4"/>
  <c r="I341" i="4"/>
  <c r="K341" i="4"/>
  <c r="E342" i="4" s="1"/>
  <c r="J341" i="4"/>
  <c r="L826" i="4"/>
  <c r="I826" i="4"/>
  <c r="K826" i="4" s="1"/>
  <c r="J826" i="4"/>
  <c r="O826" i="4"/>
  <c r="I485" i="4" l="1"/>
  <c r="K485" i="4" s="1"/>
  <c r="E827" i="4"/>
  <c r="N826" i="4"/>
  <c r="L485" i="4"/>
  <c r="J485" i="4"/>
  <c r="F1274" i="4"/>
  <c r="J1274" i="4"/>
  <c r="O1274" i="4"/>
  <c r="D1274" i="4"/>
  <c r="B1274" i="4"/>
  <c r="H1274" i="4"/>
  <c r="M1274" i="4"/>
  <c r="L1274" i="4"/>
  <c r="N1274" i="4"/>
  <c r="G1274" i="4"/>
  <c r="C1274" i="4"/>
  <c r="A1274" i="4"/>
  <c r="I1274" i="4"/>
  <c r="K1274" i="4"/>
  <c r="E1275" i="4" s="1"/>
  <c r="C342" i="4"/>
  <c r="N342" i="4"/>
  <c r="F342" i="4"/>
  <c r="B342" i="4"/>
  <c r="M342" i="4"/>
  <c r="A342" i="4"/>
  <c r="H342" i="4"/>
  <c r="G342" i="4"/>
  <c r="K342" i="4"/>
  <c r="E343" i="4" s="1"/>
  <c r="J342" i="4"/>
  <c r="O342" i="4"/>
  <c r="I342" i="4"/>
  <c r="D342" i="4"/>
  <c r="L342" i="4"/>
  <c r="A343" i="4" l="1"/>
  <c r="M343" i="4"/>
  <c r="L343" i="4"/>
  <c r="N343" i="4"/>
  <c r="F343" i="4"/>
  <c r="O343" i="4"/>
  <c r="C343" i="4"/>
  <c r="D343" i="4"/>
  <c r="H343" i="4"/>
  <c r="G343" i="4"/>
  <c r="B343" i="4"/>
  <c r="I343" i="4"/>
  <c r="K343" i="4"/>
  <c r="E344" i="4" s="1"/>
  <c r="J343" i="4"/>
  <c r="J1275" i="4"/>
  <c r="I1275" i="4"/>
  <c r="C1275" i="4"/>
  <c r="G1275" i="4"/>
  <c r="F1275" i="4"/>
  <c r="M1275" i="4"/>
  <c r="K1275" i="4"/>
  <c r="E1276" i="4" s="1"/>
  <c r="D1275" i="4"/>
  <c r="O1275" i="4"/>
  <c r="N1275" i="4"/>
  <c r="L1275" i="4"/>
  <c r="B1275" i="4"/>
  <c r="A1275" i="4"/>
  <c r="H1275" i="4"/>
  <c r="B827" i="4"/>
  <c r="A827" i="4"/>
  <c r="M827" i="4"/>
  <c r="C827" i="4"/>
  <c r="D827" i="4" s="1"/>
  <c r="H827" i="4" s="1"/>
  <c r="E486" i="4"/>
  <c r="N485" i="4"/>
  <c r="F827" i="4" l="1"/>
  <c r="G827" i="4" s="1"/>
  <c r="A344" i="4"/>
  <c r="O344" i="4"/>
  <c r="N344" i="4"/>
  <c r="L344" i="4"/>
  <c r="J344" i="4"/>
  <c r="G344" i="4"/>
  <c r="H344" i="4"/>
  <c r="M344" i="4"/>
  <c r="I344" i="4"/>
  <c r="K344" i="4"/>
  <c r="E345" i="4" s="1"/>
  <c r="C344" i="4"/>
  <c r="B344" i="4"/>
  <c r="F344" i="4"/>
  <c r="D344" i="4"/>
  <c r="L1276" i="4"/>
  <c r="D1276" i="4"/>
  <c r="K1276" i="4"/>
  <c r="E1277" i="4" s="1"/>
  <c r="G1276" i="4"/>
  <c r="O1276" i="4"/>
  <c r="I1276" i="4"/>
  <c r="H1276" i="4"/>
  <c r="M1276" i="4"/>
  <c r="C1276" i="4"/>
  <c r="A1276" i="4"/>
  <c r="F1276" i="4"/>
  <c r="N1276" i="4"/>
  <c r="B1276" i="4"/>
  <c r="J1276" i="4"/>
  <c r="M486" i="4"/>
  <c r="C486" i="4"/>
  <c r="D486" i="4" s="1"/>
  <c r="H486" i="4" s="1"/>
  <c r="B486" i="4"/>
  <c r="A486" i="4"/>
  <c r="F486" i="4" l="1"/>
  <c r="G486" i="4" s="1"/>
  <c r="F1277" i="4"/>
  <c r="L1277" i="4"/>
  <c r="C1277" i="4"/>
  <c r="B1277" i="4"/>
  <c r="A1277" i="4"/>
  <c r="G1277" i="4"/>
  <c r="J1277" i="4"/>
  <c r="M1277" i="4"/>
  <c r="I1277" i="4"/>
  <c r="D1277" i="4"/>
  <c r="H1277" i="4"/>
  <c r="O1277" i="4"/>
  <c r="K1277" i="4"/>
  <c r="E1278" i="4" s="1"/>
  <c r="N1277" i="4"/>
  <c r="B345" i="4"/>
  <c r="A345" i="4"/>
  <c r="I345" i="4"/>
  <c r="N345" i="4"/>
  <c r="H345" i="4"/>
  <c r="G345" i="4"/>
  <c r="L345" i="4"/>
  <c r="J345" i="4"/>
  <c r="C345" i="4"/>
  <c r="K345" i="4"/>
  <c r="E346" i="4" s="1"/>
  <c r="O345" i="4"/>
  <c r="M345" i="4"/>
  <c r="F345" i="4"/>
  <c r="D345" i="4"/>
  <c r="J827" i="4"/>
  <c r="I827" i="4"/>
  <c r="K827" i="4" s="1"/>
  <c r="O827" i="4"/>
  <c r="L827" i="4"/>
  <c r="D1278" i="4" l="1"/>
  <c r="B1278" i="4"/>
  <c r="G1278" i="4"/>
  <c r="O1278" i="4"/>
  <c r="C1278" i="4"/>
  <c r="A1278" i="4"/>
  <c r="I1278" i="4"/>
  <c r="H1278" i="4"/>
  <c r="F1278" i="4"/>
  <c r="M1278" i="4"/>
  <c r="L1278" i="4"/>
  <c r="K1278" i="4"/>
  <c r="E1279" i="4" s="1"/>
  <c r="N1278" i="4"/>
  <c r="J1278" i="4"/>
  <c r="E828" i="4"/>
  <c r="N827" i="4"/>
  <c r="F346" i="4"/>
  <c r="L346" i="4"/>
  <c r="B346" i="4"/>
  <c r="O346" i="4"/>
  <c r="B8" i="3" s="1"/>
  <c r="N346" i="4"/>
  <c r="B7" i="3" s="1"/>
  <c r="B13" i="3" s="1"/>
  <c r="G346" i="4"/>
  <c r="C346" i="4"/>
  <c r="M346" i="4"/>
  <c r="J346" i="4"/>
  <c r="B10" i="3" s="1"/>
  <c r="I346" i="4"/>
  <c r="B30" i="3" s="1"/>
  <c r="D30" i="3" s="1"/>
  <c r="F30" i="3" s="1"/>
  <c r="K346" i="4"/>
  <c r="D346" i="4"/>
  <c r="H346" i="4"/>
  <c r="B9" i="3" s="1"/>
  <c r="B12" i="3" s="1"/>
  <c r="A346" i="4"/>
  <c r="I486" i="4"/>
  <c r="K486" i="4" s="1"/>
  <c r="J486" i="4"/>
  <c r="L486" i="4"/>
  <c r="O486" i="4"/>
  <c r="B34" i="3" l="1"/>
  <c r="D34" i="3" s="1"/>
  <c r="F34" i="3" s="1"/>
  <c r="B11" i="3"/>
  <c r="J1279" i="4"/>
  <c r="K1279" i="4"/>
  <c r="E1280" i="4" s="1"/>
  <c r="C1279" i="4"/>
  <c r="F1279" i="4"/>
  <c r="D1279" i="4"/>
  <c r="I1279" i="4"/>
  <c r="A1279" i="4"/>
  <c r="H1279" i="4"/>
  <c r="B1279" i="4"/>
  <c r="O1279" i="4"/>
  <c r="G1279" i="4"/>
  <c r="N1279" i="4"/>
  <c r="L1279" i="4"/>
  <c r="M1279" i="4"/>
  <c r="E487" i="4"/>
  <c r="N486" i="4"/>
  <c r="B828" i="4"/>
  <c r="C828" i="4"/>
  <c r="D828" i="4" s="1"/>
  <c r="H828" i="4" s="1"/>
  <c r="A828" i="4"/>
  <c r="M828" i="4"/>
  <c r="F828" i="4" l="1"/>
  <c r="G828" i="4" s="1"/>
  <c r="G1280" i="4"/>
  <c r="D1280" i="4"/>
  <c r="J1280" i="4"/>
  <c r="M1280" i="4"/>
  <c r="F1280" i="4"/>
  <c r="N1280" i="4"/>
  <c r="I1280" i="4"/>
  <c r="L1280" i="4"/>
  <c r="B1280" i="4"/>
  <c r="O1280" i="4"/>
  <c r="A1280" i="4"/>
  <c r="H1280" i="4"/>
  <c r="C1280" i="4"/>
  <c r="K1280" i="4"/>
  <c r="E1281" i="4" s="1"/>
  <c r="B487" i="4"/>
  <c r="A487" i="4"/>
  <c r="C487" i="4"/>
  <c r="D487" i="4" s="1"/>
  <c r="H487" i="4" s="1"/>
  <c r="F487" i="4" s="1"/>
  <c r="M487" i="4"/>
  <c r="G487" i="4" l="1"/>
  <c r="L487" i="4" s="1"/>
  <c r="F1281" i="4"/>
  <c r="D1281" i="4"/>
  <c r="M1281" i="4"/>
  <c r="K1281" i="4"/>
  <c r="E1282" i="4" s="1"/>
  <c r="H1281" i="4"/>
  <c r="C1281" i="4"/>
  <c r="J1281" i="4"/>
  <c r="B1281" i="4"/>
  <c r="O1281" i="4"/>
  <c r="I1281" i="4"/>
  <c r="A1281" i="4"/>
  <c r="N1281" i="4"/>
  <c r="G1281" i="4"/>
  <c r="L1281" i="4"/>
  <c r="O487" i="4"/>
  <c r="L828" i="4"/>
  <c r="I828" i="4"/>
  <c r="K828" i="4" s="1"/>
  <c r="O828" i="4"/>
  <c r="J828" i="4"/>
  <c r="N1282" i="4" l="1"/>
  <c r="L1282" i="4"/>
  <c r="M1282" i="4"/>
  <c r="O1282" i="4"/>
  <c r="K1282" i="4"/>
  <c r="E1283" i="4" s="1"/>
  <c r="C1282" i="4"/>
  <c r="A1282" i="4"/>
  <c r="J1282" i="4"/>
  <c r="D1282" i="4"/>
  <c r="H1282" i="4"/>
  <c r="B1282" i="4"/>
  <c r="F1282" i="4"/>
  <c r="I1282" i="4"/>
  <c r="G1282" i="4"/>
  <c r="I487" i="4"/>
  <c r="K487" i="4" s="1"/>
  <c r="J487" i="4"/>
  <c r="E829" i="4"/>
  <c r="N828" i="4"/>
  <c r="A829" i="4" l="1"/>
  <c r="M829" i="4"/>
  <c r="B829" i="4"/>
  <c r="C829" i="4"/>
  <c r="D829" i="4" s="1"/>
  <c r="H829" i="4" s="1"/>
  <c r="N1283" i="4"/>
  <c r="H1283" i="4"/>
  <c r="C1283" i="4"/>
  <c r="D1283" i="4"/>
  <c r="J1283" i="4"/>
  <c r="I1283" i="4"/>
  <c r="F1283" i="4"/>
  <c r="A1283" i="4"/>
  <c r="G1283" i="4"/>
  <c r="M1283" i="4"/>
  <c r="B1283" i="4"/>
  <c r="L1283" i="4"/>
  <c r="K1283" i="4"/>
  <c r="E1284" i="4" s="1"/>
  <c r="O1283" i="4"/>
  <c r="E488" i="4"/>
  <c r="N487" i="4"/>
  <c r="F829" i="4" l="1"/>
  <c r="G829" i="4" s="1"/>
  <c r="O1284" i="4"/>
  <c r="N1284" i="4"/>
  <c r="I1284" i="4"/>
  <c r="A1284" i="4"/>
  <c r="M1284" i="4"/>
  <c r="F1284" i="4"/>
  <c r="L1284" i="4"/>
  <c r="B1284" i="4"/>
  <c r="D1284" i="4"/>
  <c r="C1284" i="4"/>
  <c r="G1284" i="4"/>
  <c r="K1284" i="4"/>
  <c r="E1285" i="4" s="1"/>
  <c r="H1284" i="4"/>
  <c r="J1284" i="4"/>
  <c r="M488" i="4"/>
  <c r="A488" i="4"/>
  <c r="C488" i="4"/>
  <c r="D488" i="4" s="1"/>
  <c r="H488" i="4" s="1"/>
  <c r="B488" i="4"/>
  <c r="F488" i="4" l="1"/>
  <c r="G488" i="4" s="1"/>
  <c r="O1285" i="4"/>
  <c r="N1285" i="4"/>
  <c r="J1285" i="4"/>
  <c r="G1285" i="4"/>
  <c r="B1285" i="4"/>
  <c r="L1285" i="4"/>
  <c r="A1285" i="4"/>
  <c r="M1285" i="4"/>
  <c r="K1285" i="4"/>
  <c r="E1286" i="4" s="1"/>
  <c r="I1285" i="4"/>
  <c r="F1285" i="4"/>
  <c r="C1285" i="4"/>
  <c r="H1285" i="4"/>
  <c r="D1285" i="4"/>
  <c r="I829" i="4"/>
  <c r="K829" i="4" s="1"/>
  <c r="L829" i="4"/>
  <c r="J829" i="4"/>
  <c r="O829" i="4"/>
  <c r="J1286" i="4" l="1"/>
  <c r="K1286" i="4"/>
  <c r="E1287" i="4" s="1"/>
  <c r="C1286" i="4"/>
  <c r="I1286" i="4"/>
  <c r="H1286" i="4"/>
  <c r="L1286" i="4"/>
  <c r="G1286" i="4"/>
  <c r="M1286" i="4"/>
  <c r="F1286" i="4"/>
  <c r="N1286" i="4"/>
  <c r="D1286" i="4"/>
  <c r="O1286" i="4"/>
  <c r="B1286" i="4"/>
  <c r="A1286" i="4"/>
  <c r="E830" i="4"/>
  <c r="N829" i="4"/>
  <c r="L488" i="4"/>
  <c r="O488" i="4"/>
  <c r="J488" i="4"/>
  <c r="I488" i="4"/>
  <c r="K488" i="4" s="1"/>
  <c r="E489" i="4" l="1"/>
  <c r="N488" i="4"/>
  <c r="M830" i="4"/>
  <c r="B830" i="4"/>
  <c r="A830" i="4"/>
  <c r="C830" i="4"/>
  <c r="D830" i="4" s="1"/>
  <c r="H830" i="4" s="1"/>
  <c r="D1287" i="4"/>
  <c r="N1287" i="4"/>
  <c r="K1287" i="4"/>
  <c r="E1288" i="4" s="1"/>
  <c r="F1287" i="4"/>
  <c r="C1287" i="4"/>
  <c r="B1287" i="4"/>
  <c r="A1287" i="4"/>
  <c r="H1287" i="4"/>
  <c r="O1287" i="4"/>
  <c r="I1287" i="4"/>
  <c r="G1287" i="4"/>
  <c r="M1287" i="4"/>
  <c r="L1287" i="4"/>
  <c r="J1287" i="4"/>
  <c r="F830" i="4" l="1"/>
  <c r="G830" i="4"/>
  <c r="F1288" i="4"/>
  <c r="C1288" i="4"/>
  <c r="D1288" i="4"/>
  <c r="A1288" i="4"/>
  <c r="L1288" i="4"/>
  <c r="K1288" i="4"/>
  <c r="E1289" i="4" s="1"/>
  <c r="O1288" i="4"/>
  <c r="N1288" i="4"/>
  <c r="M1288" i="4"/>
  <c r="J1288" i="4"/>
  <c r="I1288" i="4"/>
  <c r="G1288" i="4"/>
  <c r="H1288" i="4"/>
  <c r="B1288" i="4"/>
  <c r="C489" i="4"/>
  <c r="D489" i="4" s="1"/>
  <c r="H489" i="4" s="1"/>
  <c r="B489" i="4"/>
  <c r="M489" i="4"/>
  <c r="A489" i="4"/>
  <c r="F489" i="4" l="1"/>
  <c r="K1289" i="4"/>
  <c r="E1290" i="4" s="1"/>
  <c r="B1289" i="4"/>
  <c r="N1289" i="4"/>
  <c r="J1289" i="4"/>
  <c r="F1289" i="4"/>
  <c r="A1289" i="4"/>
  <c r="H1289" i="4"/>
  <c r="D1289" i="4"/>
  <c r="O1289" i="4"/>
  <c r="I1289" i="4"/>
  <c r="G1289" i="4"/>
  <c r="C1289" i="4"/>
  <c r="L1289" i="4"/>
  <c r="M1289" i="4"/>
  <c r="L830" i="4"/>
  <c r="I830" i="4"/>
  <c r="K830" i="4" s="1"/>
  <c r="O830" i="4"/>
  <c r="J830" i="4"/>
  <c r="E831" i="4" l="1"/>
  <c r="N830" i="4"/>
  <c r="N1290" i="4"/>
  <c r="F1290" i="4"/>
  <c r="D1290" i="4"/>
  <c r="I1290" i="4"/>
  <c r="H1290" i="4"/>
  <c r="M1290" i="4"/>
  <c r="G1290" i="4"/>
  <c r="C1290" i="4"/>
  <c r="A1290" i="4"/>
  <c r="L1290" i="4"/>
  <c r="K1290" i="4"/>
  <c r="E1291" i="4" s="1"/>
  <c r="J1290" i="4"/>
  <c r="B1290" i="4"/>
  <c r="O1290" i="4"/>
  <c r="G489" i="4"/>
  <c r="O489" i="4" s="1"/>
  <c r="D1291" i="4" l="1"/>
  <c r="B1291" i="4"/>
  <c r="I1291" i="4"/>
  <c r="G1291" i="4"/>
  <c r="C1291" i="4"/>
  <c r="A1291" i="4"/>
  <c r="N1291" i="4"/>
  <c r="L1291" i="4"/>
  <c r="J1291" i="4"/>
  <c r="F1291" i="4"/>
  <c r="K1291" i="4"/>
  <c r="E1292" i="4" s="1"/>
  <c r="M1291" i="4"/>
  <c r="H1291" i="4"/>
  <c r="O1291" i="4"/>
  <c r="J489" i="4"/>
  <c r="L489" i="4"/>
  <c r="I489" i="4"/>
  <c r="K489" i="4" s="1"/>
  <c r="M831" i="4"/>
  <c r="B831" i="4"/>
  <c r="A831" i="4"/>
  <c r="C831" i="4"/>
  <c r="D831" i="4" s="1"/>
  <c r="H831" i="4" s="1"/>
  <c r="F831" i="4" l="1"/>
  <c r="G831" i="4" s="1"/>
  <c r="N1292" i="4"/>
  <c r="D1292" i="4"/>
  <c r="O1292" i="4"/>
  <c r="M1292" i="4"/>
  <c r="C1292" i="4"/>
  <c r="B1292" i="4"/>
  <c r="F1292" i="4"/>
  <c r="I1292" i="4"/>
  <c r="A1292" i="4"/>
  <c r="H1292" i="4"/>
  <c r="G1292" i="4"/>
  <c r="K1292" i="4"/>
  <c r="E1293" i="4" s="1"/>
  <c r="J1292" i="4"/>
  <c r="L1292" i="4"/>
  <c r="E490" i="4"/>
  <c r="N489" i="4"/>
  <c r="F1293" i="4" l="1"/>
  <c r="O1293" i="4"/>
  <c r="I1293" i="4"/>
  <c r="G1293" i="4"/>
  <c r="N1293" i="4"/>
  <c r="J1293" i="4"/>
  <c r="D1293" i="4"/>
  <c r="H1293" i="4"/>
  <c r="A1293" i="4"/>
  <c r="C1293" i="4"/>
  <c r="K1293" i="4"/>
  <c r="E1294" i="4" s="1"/>
  <c r="L1293" i="4"/>
  <c r="B1293" i="4"/>
  <c r="M1293" i="4"/>
  <c r="C490" i="4"/>
  <c r="B490" i="4"/>
  <c r="A490" i="4"/>
  <c r="D490" i="4"/>
  <c r="H490" i="4" s="1"/>
  <c r="M490" i="4"/>
  <c r="J831" i="4"/>
  <c r="O831" i="4"/>
  <c r="I831" i="4"/>
  <c r="K831" i="4" s="1"/>
  <c r="L831" i="4"/>
  <c r="F490" i="4" l="1"/>
  <c r="G490" i="4"/>
  <c r="E832" i="4"/>
  <c r="N831" i="4"/>
  <c r="K1294" i="4"/>
  <c r="E1295" i="4" s="1"/>
  <c r="F1294" i="4"/>
  <c r="J1294" i="4"/>
  <c r="H1294" i="4"/>
  <c r="G1294" i="4"/>
  <c r="C1294" i="4"/>
  <c r="D1294" i="4"/>
  <c r="O1294" i="4"/>
  <c r="M1294" i="4"/>
  <c r="B1294" i="4"/>
  <c r="I1294" i="4"/>
  <c r="L1294" i="4"/>
  <c r="A1294" i="4"/>
  <c r="N1294" i="4"/>
  <c r="C832" i="4" l="1"/>
  <c r="A832" i="4"/>
  <c r="B832" i="4"/>
  <c r="D832" i="4"/>
  <c r="H832" i="4" s="1"/>
  <c r="M832" i="4"/>
  <c r="C1295" i="4"/>
  <c r="A1295" i="4"/>
  <c r="I1295" i="4"/>
  <c r="H1295" i="4"/>
  <c r="K1295" i="4"/>
  <c r="E1296" i="4" s="1"/>
  <c r="F1295" i="4"/>
  <c r="D1295" i="4"/>
  <c r="B1295" i="4"/>
  <c r="J1295" i="4"/>
  <c r="G1295" i="4"/>
  <c r="O1295" i="4"/>
  <c r="N1295" i="4"/>
  <c r="M1295" i="4"/>
  <c r="L1295" i="4"/>
  <c r="I490" i="4"/>
  <c r="K490" i="4" s="1"/>
  <c r="J490" i="4"/>
  <c r="L490" i="4"/>
  <c r="O490" i="4"/>
  <c r="F832" i="4" l="1"/>
  <c r="G1296" i="4"/>
  <c r="K1296" i="4"/>
  <c r="E1297" i="4" s="1"/>
  <c r="O1296" i="4"/>
  <c r="N1296" i="4"/>
  <c r="C1296" i="4"/>
  <c r="A1296" i="4"/>
  <c r="H1296" i="4"/>
  <c r="J1296" i="4"/>
  <c r="I1296" i="4"/>
  <c r="M1296" i="4"/>
  <c r="L1296" i="4"/>
  <c r="F1296" i="4"/>
  <c r="D1296" i="4"/>
  <c r="B1296" i="4"/>
  <c r="E491" i="4"/>
  <c r="N490" i="4"/>
  <c r="C491" i="4" l="1"/>
  <c r="B491" i="4"/>
  <c r="D491" i="4"/>
  <c r="H491" i="4" s="1"/>
  <c r="A491" i="4"/>
  <c r="M491" i="4"/>
  <c r="O1297" i="4"/>
  <c r="N1297" i="4"/>
  <c r="L1297" i="4"/>
  <c r="M1297" i="4"/>
  <c r="K1297" i="4"/>
  <c r="E1298" i="4" s="1"/>
  <c r="D1297" i="4"/>
  <c r="B1297" i="4"/>
  <c r="A1297" i="4"/>
  <c r="F1297" i="4"/>
  <c r="C1297" i="4"/>
  <c r="I1297" i="4"/>
  <c r="G1297" i="4"/>
  <c r="J1297" i="4"/>
  <c r="H1297" i="4"/>
  <c r="G832" i="4"/>
  <c r="J832" i="4" s="1"/>
  <c r="F491" i="4" l="1"/>
  <c r="G491" i="4"/>
  <c r="O832" i="4"/>
  <c r="L1298" i="4"/>
  <c r="K1298" i="4"/>
  <c r="E1299" i="4" s="1"/>
  <c r="G1298" i="4"/>
  <c r="B1298" i="4"/>
  <c r="D1298" i="4"/>
  <c r="F1298" i="4"/>
  <c r="I1298" i="4"/>
  <c r="C1298" i="4"/>
  <c r="J1298" i="4"/>
  <c r="H1298" i="4"/>
  <c r="N1298" i="4"/>
  <c r="M1298" i="4"/>
  <c r="A1298" i="4"/>
  <c r="O1298" i="4"/>
  <c r="L832" i="4"/>
  <c r="I832" i="4"/>
  <c r="K832" i="4" s="1"/>
  <c r="K1299" i="4" l="1"/>
  <c r="E1300" i="4" s="1"/>
  <c r="O1299" i="4"/>
  <c r="I1299" i="4"/>
  <c r="N1299" i="4"/>
  <c r="M1299" i="4"/>
  <c r="G1299" i="4"/>
  <c r="D1299" i="4"/>
  <c r="B1299" i="4"/>
  <c r="A1299" i="4"/>
  <c r="J1299" i="4"/>
  <c r="H1299" i="4"/>
  <c r="C1299" i="4"/>
  <c r="F1299" i="4"/>
  <c r="L1299" i="4"/>
  <c r="E833" i="4"/>
  <c r="N832" i="4"/>
  <c r="I491" i="4"/>
  <c r="K491" i="4" s="1"/>
  <c r="O491" i="4"/>
  <c r="L491" i="4"/>
  <c r="J491" i="4"/>
  <c r="E492" i="4" l="1"/>
  <c r="N491" i="4"/>
  <c r="M833" i="4"/>
  <c r="A833" i="4"/>
  <c r="B833" i="4"/>
  <c r="C833" i="4"/>
  <c r="D833" i="4" s="1"/>
  <c r="H833" i="4" s="1"/>
  <c r="F833" i="4" s="1"/>
  <c r="C1300" i="4"/>
  <c r="J1300" i="4"/>
  <c r="B1300" i="4"/>
  <c r="H1300" i="4"/>
  <c r="G1300" i="4"/>
  <c r="F1300" i="4"/>
  <c r="A1300" i="4"/>
  <c r="O1300" i="4"/>
  <c r="L1300" i="4"/>
  <c r="N1300" i="4"/>
  <c r="K1300" i="4"/>
  <c r="E1301" i="4" s="1"/>
  <c r="I1300" i="4"/>
  <c r="M1300" i="4"/>
  <c r="D1300" i="4"/>
  <c r="G1301" i="4" l="1"/>
  <c r="H1301" i="4"/>
  <c r="O1301" i="4"/>
  <c r="F1301" i="4"/>
  <c r="M1301" i="4"/>
  <c r="K1301" i="4"/>
  <c r="E1302" i="4" s="1"/>
  <c r="L1301" i="4"/>
  <c r="D1301" i="4"/>
  <c r="A1301" i="4"/>
  <c r="C1301" i="4"/>
  <c r="N1301" i="4"/>
  <c r="B1301" i="4"/>
  <c r="J1301" i="4"/>
  <c r="I1301" i="4"/>
  <c r="G833" i="4"/>
  <c r="L833" i="4" s="1"/>
  <c r="M492" i="4"/>
  <c r="B492" i="4"/>
  <c r="C492" i="4"/>
  <c r="D492" i="4" s="1"/>
  <c r="H492" i="4" s="1"/>
  <c r="A492" i="4"/>
  <c r="F492" i="4" l="1"/>
  <c r="O833" i="4"/>
  <c r="I833" i="4"/>
  <c r="K833" i="4" s="1"/>
  <c r="J833" i="4"/>
  <c r="C1302" i="4"/>
  <c r="A1302" i="4"/>
  <c r="L1302" i="4"/>
  <c r="H1302" i="4"/>
  <c r="G1302" i="4"/>
  <c r="F1302" i="4"/>
  <c r="B1302" i="4"/>
  <c r="K1302" i="4"/>
  <c r="E1303" i="4" s="1"/>
  <c r="J1302" i="4"/>
  <c r="O1302" i="4"/>
  <c r="N1302" i="4"/>
  <c r="I1302" i="4"/>
  <c r="M1302" i="4"/>
  <c r="D1302" i="4"/>
  <c r="N1303" i="4" l="1"/>
  <c r="M1303" i="4"/>
  <c r="I1303" i="4"/>
  <c r="G1303" i="4"/>
  <c r="A1303" i="4"/>
  <c r="J1303" i="4"/>
  <c r="L1303" i="4"/>
  <c r="K1303" i="4"/>
  <c r="E1304" i="4" s="1"/>
  <c r="H1303" i="4"/>
  <c r="O1303" i="4"/>
  <c r="F1303" i="4"/>
  <c r="C1303" i="4"/>
  <c r="D1303" i="4"/>
  <c r="B1303" i="4"/>
  <c r="E834" i="4"/>
  <c r="N833" i="4"/>
  <c r="G492" i="4"/>
  <c r="L492" i="4" s="1"/>
  <c r="A834" i="4" l="1"/>
  <c r="M834" i="4"/>
  <c r="B834" i="4"/>
  <c r="C834" i="4"/>
  <c r="D834" i="4" s="1"/>
  <c r="H834" i="4" s="1"/>
  <c r="O492" i="4"/>
  <c r="C1304" i="4"/>
  <c r="B1304" i="4"/>
  <c r="O1304" i="4"/>
  <c r="H1304" i="4"/>
  <c r="A1304" i="4"/>
  <c r="N1304" i="4"/>
  <c r="M1304" i="4"/>
  <c r="L1304" i="4"/>
  <c r="I1304" i="4"/>
  <c r="D1304" i="4"/>
  <c r="K1304" i="4"/>
  <c r="E1305" i="4" s="1"/>
  <c r="J1304" i="4"/>
  <c r="G1304" i="4"/>
  <c r="F1304" i="4"/>
  <c r="J492" i="4"/>
  <c r="I492" i="4"/>
  <c r="K492" i="4" s="1"/>
  <c r="F834" i="4" l="1"/>
  <c r="D1305" i="4"/>
  <c r="C1305" i="4"/>
  <c r="O1305" i="4"/>
  <c r="L1305" i="4"/>
  <c r="J1305" i="4"/>
  <c r="H1305" i="4"/>
  <c r="B1305" i="4"/>
  <c r="A1305" i="4"/>
  <c r="M1305" i="4"/>
  <c r="N1305" i="4"/>
  <c r="K1305" i="4"/>
  <c r="E1306" i="4" s="1"/>
  <c r="I1305" i="4"/>
  <c r="G1305" i="4"/>
  <c r="F1305" i="4"/>
  <c r="E493" i="4"/>
  <c r="N492" i="4"/>
  <c r="H1306" i="4" l="1"/>
  <c r="F1306" i="4"/>
  <c r="B1306" i="4"/>
  <c r="L1306" i="4"/>
  <c r="O1306" i="4"/>
  <c r="G1306" i="4"/>
  <c r="D1306" i="4"/>
  <c r="C1306" i="4"/>
  <c r="M1306" i="4"/>
  <c r="A1306" i="4"/>
  <c r="N1306" i="4"/>
  <c r="K1306" i="4"/>
  <c r="E1307" i="4" s="1"/>
  <c r="I1306" i="4"/>
  <c r="J1306" i="4"/>
  <c r="A493" i="4"/>
  <c r="M493" i="4"/>
  <c r="C493" i="4"/>
  <c r="D493" i="4" s="1"/>
  <c r="H493" i="4" s="1"/>
  <c r="B493" i="4"/>
  <c r="G834" i="4"/>
  <c r="O834" i="4" s="1"/>
  <c r="F493" i="4" l="1"/>
  <c r="G493" i="4" s="1"/>
  <c r="I834" i="4"/>
  <c r="K834" i="4" s="1"/>
  <c r="J834" i="4"/>
  <c r="D1307" i="4"/>
  <c r="N1307" i="4"/>
  <c r="K1307" i="4"/>
  <c r="E1308" i="4" s="1"/>
  <c r="C1307" i="4"/>
  <c r="I1307" i="4"/>
  <c r="H1307" i="4"/>
  <c r="M1307" i="4"/>
  <c r="A1307" i="4"/>
  <c r="J1307" i="4"/>
  <c r="O1307" i="4"/>
  <c r="L1307" i="4"/>
  <c r="G1307" i="4"/>
  <c r="F1307" i="4"/>
  <c r="B1307" i="4"/>
  <c r="L834" i="4"/>
  <c r="G1308" i="4" l="1"/>
  <c r="F1308" i="4"/>
  <c r="B1308" i="4"/>
  <c r="A1308" i="4"/>
  <c r="J1308" i="4"/>
  <c r="N1308" i="4"/>
  <c r="K1308" i="4"/>
  <c r="E1309" i="4" s="1"/>
  <c r="D1308" i="4"/>
  <c r="C1308" i="4"/>
  <c r="I1308" i="4"/>
  <c r="H1308" i="4"/>
  <c r="M1308" i="4"/>
  <c r="O1308" i="4"/>
  <c r="L1308" i="4"/>
  <c r="E835" i="4"/>
  <c r="N834" i="4"/>
  <c r="I493" i="4"/>
  <c r="K493" i="4" s="1"/>
  <c r="L493" i="4"/>
  <c r="O493" i="4"/>
  <c r="J493" i="4"/>
  <c r="E494" i="4" l="1"/>
  <c r="N493" i="4"/>
  <c r="K1309" i="4"/>
  <c r="E1310" i="4" s="1"/>
  <c r="H1309" i="4"/>
  <c r="C1309" i="4"/>
  <c r="F1309" i="4"/>
  <c r="O1309" i="4"/>
  <c r="G1309" i="4"/>
  <c r="B1309" i="4"/>
  <c r="D1309" i="4"/>
  <c r="M1309" i="4"/>
  <c r="J1309" i="4"/>
  <c r="I1309" i="4"/>
  <c r="L1309" i="4"/>
  <c r="A1309" i="4"/>
  <c r="N1309" i="4"/>
  <c r="C835" i="4"/>
  <c r="D835" i="4" s="1"/>
  <c r="H835" i="4" s="1"/>
  <c r="M835" i="4"/>
  <c r="B835" i="4"/>
  <c r="A835" i="4"/>
  <c r="F835" i="4" l="1"/>
  <c r="B1310" i="4"/>
  <c r="O1310" i="4"/>
  <c r="N1310" i="4"/>
  <c r="L1310" i="4"/>
  <c r="K1310" i="4"/>
  <c r="E1311" i="4" s="1"/>
  <c r="D1310" i="4"/>
  <c r="A1310" i="4"/>
  <c r="J1310" i="4"/>
  <c r="M1310" i="4"/>
  <c r="I1310" i="4"/>
  <c r="H1310" i="4"/>
  <c r="F1310" i="4"/>
  <c r="G1310" i="4"/>
  <c r="C1310" i="4"/>
  <c r="C494" i="4"/>
  <c r="D494" i="4" s="1"/>
  <c r="H494" i="4" s="1"/>
  <c r="B494" i="4"/>
  <c r="M494" i="4"/>
  <c r="A494" i="4"/>
  <c r="F494" i="4" l="1"/>
  <c r="D1311" i="4"/>
  <c r="C1311" i="4"/>
  <c r="B1311" i="4"/>
  <c r="A1311" i="4"/>
  <c r="K1311" i="4"/>
  <c r="E1312" i="4" s="1"/>
  <c r="M1311" i="4"/>
  <c r="F1311" i="4"/>
  <c r="O1311" i="4"/>
  <c r="L1311" i="4"/>
  <c r="I1311" i="4"/>
  <c r="H1311" i="4"/>
  <c r="G1311" i="4"/>
  <c r="J1311" i="4"/>
  <c r="N1311" i="4"/>
  <c r="G835" i="4"/>
  <c r="J835" i="4" s="1"/>
  <c r="L835" i="4" l="1"/>
  <c r="O835" i="4"/>
  <c r="I835" i="4"/>
  <c r="K835" i="4" s="1"/>
  <c r="D1312" i="4"/>
  <c r="K1312" i="4"/>
  <c r="E1313" i="4" s="1"/>
  <c r="G1312" i="4"/>
  <c r="M1312" i="4"/>
  <c r="L1312" i="4"/>
  <c r="I1312" i="4"/>
  <c r="H1312" i="4"/>
  <c r="J1312" i="4"/>
  <c r="F1312" i="4"/>
  <c r="O1312" i="4"/>
  <c r="N1312" i="4"/>
  <c r="B1312" i="4"/>
  <c r="A1312" i="4"/>
  <c r="C1312" i="4"/>
  <c r="G494" i="4"/>
  <c r="J494" i="4" s="1"/>
  <c r="L494" i="4" l="1"/>
  <c r="I494" i="4"/>
  <c r="K494" i="4" s="1"/>
  <c r="O494" i="4"/>
  <c r="G1313" i="4"/>
  <c r="O1313" i="4"/>
  <c r="K1313" i="4"/>
  <c r="E1314" i="4" s="1"/>
  <c r="J1313" i="4"/>
  <c r="H1313" i="4"/>
  <c r="D1313" i="4"/>
  <c r="C1313" i="4"/>
  <c r="B1313" i="4"/>
  <c r="N1313" i="4"/>
  <c r="F1313" i="4"/>
  <c r="M1313" i="4"/>
  <c r="I1313" i="4"/>
  <c r="A1313" i="4"/>
  <c r="L1313" i="4"/>
  <c r="E836" i="4"/>
  <c r="N835" i="4"/>
  <c r="J1314" i="4" l="1"/>
  <c r="B1314" i="4"/>
  <c r="M1314" i="4"/>
  <c r="I1314" i="4"/>
  <c r="G1314" i="4"/>
  <c r="H1314" i="4"/>
  <c r="A1314" i="4"/>
  <c r="N1314" i="4"/>
  <c r="L1314" i="4"/>
  <c r="D1314" i="4"/>
  <c r="C1314" i="4"/>
  <c r="O1314" i="4"/>
  <c r="K1314" i="4"/>
  <c r="E1315" i="4" s="1"/>
  <c r="F1314" i="4"/>
  <c r="C836" i="4"/>
  <c r="B836" i="4"/>
  <c r="A836" i="4"/>
  <c r="M836" i="4"/>
  <c r="D836" i="4"/>
  <c r="H836" i="4" s="1"/>
  <c r="E495" i="4"/>
  <c r="N494" i="4"/>
  <c r="F836" i="4" l="1"/>
  <c r="G836" i="4" s="1"/>
  <c r="M1315" i="4"/>
  <c r="L1315" i="4"/>
  <c r="D1315" i="4"/>
  <c r="F1315" i="4"/>
  <c r="I1315" i="4"/>
  <c r="N1315" i="4"/>
  <c r="G1315" i="4"/>
  <c r="A1315" i="4"/>
  <c r="B1315" i="4"/>
  <c r="C1315" i="4"/>
  <c r="H1315" i="4"/>
  <c r="O1315" i="4"/>
  <c r="K1315" i="4"/>
  <c r="E1316" i="4" s="1"/>
  <c r="J1315" i="4"/>
  <c r="C495" i="4"/>
  <c r="D495" i="4" s="1"/>
  <c r="H495" i="4" s="1"/>
  <c r="B495" i="4"/>
  <c r="A495" i="4"/>
  <c r="M495" i="4"/>
  <c r="F495" i="4" l="1"/>
  <c r="N1316" i="4"/>
  <c r="M1316" i="4"/>
  <c r="B1316" i="4"/>
  <c r="K1316" i="4"/>
  <c r="E1317" i="4" s="1"/>
  <c r="D1316" i="4"/>
  <c r="F1316" i="4"/>
  <c r="L1316" i="4"/>
  <c r="G1316" i="4"/>
  <c r="C1316" i="4"/>
  <c r="J1316" i="4"/>
  <c r="I1316" i="4"/>
  <c r="H1316" i="4"/>
  <c r="A1316" i="4"/>
  <c r="O1316" i="4"/>
  <c r="J836" i="4"/>
  <c r="L836" i="4"/>
  <c r="O836" i="4"/>
  <c r="I836" i="4"/>
  <c r="K836" i="4" s="1"/>
  <c r="I1317" i="4" l="1"/>
  <c r="H1317" i="4"/>
  <c r="F1317" i="4"/>
  <c r="J1317" i="4"/>
  <c r="C1317" i="4"/>
  <c r="A1317" i="4"/>
  <c r="L1317" i="4"/>
  <c r="M1317" i="4"/>
  <c r="G1317" i="4"/>
  <c r="B1317" i="4"/>
  <c r="K1317" i="4"/>
  <c r="E1318" i="4" s="1"/>
  <c r="D1317" i="4"/>
  <c r="O1317" i="4"/>
  <c r="N1317" i="4"/>
  <c r="E837" i="4"/>
  <c r="N836" i="4"/>
  <c r="G495" i="4"/>
  <c r="I495" i="4" s="1"/>
  <c r="K495" i="4" s="1"/>
  <c r="E496" i="4" l="1"/>
  <c r="N495" i="4"/>
  <c r="K1318" i="4"/>
  <c r="E1319" i="4" s="1"/>
  <c r="J1318" i="4"/>
  <c r="I1318" i="4"/>
  <c r="G1318" i="4"/>
  <c r="D1318" i="4"/>
  <c r="L1318" i="4"/>
  <c r="H1318" i="4"/>
  <c r="A1318" i="4"/>
  <c r="C1318" i="4"/>
  <c r="F1318" i="4"/>
  <c r="O1318" i="4"/>
  <c r="N1318" i="4"/>
  <c r="M1318" i="4"/>
  <c r="B1318" i="4"/>
  <c r="M837" i="4"/>
  <c r="B837" i="4"/>
  <c r="C837" i="4"/>
  <c r="D837" i="4" s="1"/>
  <c r="H837" i="4" s="1"/>
  <c r="A837" i="4"/>
  <c r="J495" i="4"/>
  <c r="O495" i="4"/>
  <c r="L495" i="4"/>
  <c r="F837" i="4" l="1"/>
  <c r="K1319" i="4"/>
  <c r="E1320" i="4" s="1"/>
  <c r="L1319" i="4"/>
  <c r="N1319" i="4"/>
  <c r="J1319" i="4"/>
  <c r="G1319" i="4"/>
  <c r="D1319" i="4"/>
  <c r="B1319" i="4"/>
  <c r="C1319" i="4"/>
  <c r="H1319" i="4"/>
  <c r="O1319" i="4"/>
  <c r="M1319" i="4"/>
  <c r="I1319" i="4"/>
  <c r="F1319" i="4"/>
  <c r="A1319" i="4"/>
  <c r="C496" i="4"/>
  <c r="D496" i="4" s="1"/>
  <c r="H496" i="4" s="1"/>
  <c r="M496" i="4"/>
  <c r="B496" i="4"/>
  <c r="A496" i="4"/>
  <c r="F496" i="4" l="1"/>
  <c r="G1320" i="4"/>
  <c r="N1320" i="4"/>
  <c r="F1320" i="4"/>
  <c r="H1320" i="4"/>
  <c r="B1320" i="4"/>
  <c r="L1320" i="4"/>
  <c r="D1320" i="4"/>
  <c r="A1320" i="4"/>
  <c r="M1320" i="4"/>
  <c r="C1320" i="4"/>
  <c r="O1320" i="4"/>
  <c r="I1320" i="4"/>
  <c r="K1320" i="4"/>
  <c r="E1321" i="4" s="1"/>
  <c r="J1320" i="4"/>
  <c r="G837" i="4"/>
  <c r="O837" i="4" s="1"/>
  <c r="L837" i="4" l="1"/>
  <c r="I837" i="4"/>
  <c r="K837" i="4" s="1"/>
  <c r="J837" i="4"/>
  <c r="N1321" i="4"/>
  <c r="M1321" i="4"/>
  <c r="J1321" i="4"/>
  <c r="H1321" i="4"/>
  <c r="A1321" i="4"/>
  <c r="F1321" i="4"/>
  <c r="K1321" i="4"/>
  <c r="E1322" i="4" s="1"/>
  <c r="O1321" i="4"/>
  <c r="L1321" i="4"/>
  <c r="D1321" i="4"/>
  <c r="I1321" i="4"/>
  <c r="G1321" i="4"/>
  <c r="B1321" i="4"/>
  <c r="C1321" i="4"/>
  <c r="G496" i="4"/>
  <c r="O496" i="4" s="1"/>
  <c r="M1322" i="4" l="1"/>
  <c r="L1322" i="4"/>
  <c r="F1322" i="4"/>
  <c r="G1322" i="4"/>
  <c r="B1322" i="4"/>
  <c r="C1322" i="4"/>
  <c r="D1322" i="4"/>
  <c r="H1322" i="4"/>
  <c r="A1322" i="4"/>
  <c r="N1322" i="4"/>
  <c r="K1322" i="4"/>
  <c r="E1323" i="4" s="1"/>
  <c r="J1322" i="4"/>
  <c r="I1322" i="4"/>
  <c r="O1322" i="4"/>
  <c r="I496" i="4"/>
  <c r="K496" i="4" s="1"/>
  <c r="L496" i="4"/>
  <c r="J496" i="4"/>
  <c r="E838" i="4"/>
  <c r="N837" i="4"/>
  <c r="F1323" i="4" l="1"/>
  <c r="O1323" i="4"/>
  <c r="N1323" i="4"/>
  <c r="D1323" i="4"/>
  <c r="K1323" i="4"/>
  <c r="E1324" i="4" s="1"/>
  <c r="B1323" i="4"/>
  <c r="I1323" i="4"/>
  <c r="C1323" i="4"/>
  <c r="M1323" i="4"/>
  <c r="J1323" i="4"/>
  <c r="L1323" i="4"/>
  <c r="H1323" i="4"/>
  <c r="A1323" i="4"/>
  <c r="G1323" i="4"/>
  <c r="A838" i="4"/>
  <c r="B838" i="4"/>
  <c r="M838" i="4"/>
  <c r="C838" i="4"/>
  <c r="D838" i="4" s="1"/>
  <c r="H838" i="4" s="1"/>
  <c r="E497" i="4"/>
  <c r="N496" i="4"/>
  <c r="F838" i="4" l="1"/>
  <c r="J1324" i="4"/>
  <c r="O1324" i="4"/>
  <c r="G1324" i="4"/>
  <c r="F1324" i="4"/>
  <c r="D1324" i="4"/>
  <c r="A1324" i="4"/>
  <c r="K1324" i="4"/>
  <c r="E1325" i="4" s="1"/>
  <c r="L1324" i="4"/>
  <c r="I1324" i="4"/>
  <c r="H1324" i="4"/>
  <c r="C1324" i="4"/>
  <c r="B1324" i="4"/>
  <c r="M1324" i="4"/>
  <c r="N1324" i="4"/>
  <c r="M497" i="4"/>
  <c r="B497" i="4"/>
  <c r="C497" i="4"/>
  <c r="D497" i="4" s="1"/>
  <c r="H497" i="4" s="1"/>
  <c r="A497" i="4"/>
  <c r="F497" i="4" l="1"/>
  <c r="G497" i="4"/>
  <c r="O1325" i="4"/>
  <c r="L1325" i="4"/>
  <c r="F1325" i="4"/>
  <c r="K1325" i="4"/>
  <c r="E1326" i="4" s="1"/>
  <c r="M1325" i="4"/>
  <c r="G1325" i="4"/>
  <c r="D1325" i="4"/>
  <c r="I1325" i="4"/>
  <c r="J1325" i="4"/>
  <c r="N1325" i="4"/>
  <c r="H1325" i="4"/>
  <c r="B1325" i="4"/>
  <c r="A1325" i="4"/>
  <c r="C1325" i="4"/>
  <c r="G838" i="4"/>
  <c r="L838" i="4" s="1"/>
  <c r="I838" i="4" l="1"/>
  <c r="K838" i="4" s="1"/>
  <c r="C1326" i="4"/>
  <c r="B1326" i="4"/>
  <c r="J1326" i="4"/>
  <c r="A1326" i="4"/>
  <c r="O1326" i="4"/>
  <c r="N1326" i="4"/>
  <c r="G1326" i="4"/>
  <c r="F1326" i="4"/>
  <c r="I1326" i="4"/>
  <c r="L1326" i="4"/>
  <c r="K1326" i="4"/>
  <c r="E1327" i="4" s="1"/>
  <c r="M1326" i="4"/>
  <c r="H1326" i="4"/>
  <c r="D1326" i="4"/>
  <c r="O838" i="4"/>
  <c r="J838" i="4"/>
  <c r="I497" i="4"/>
  <c r="K497" i="4" s="1"/>
  <c r="J497" i="4"/>
  <c r="O497" i="4"/>
  <c r="L497" i="4"/>
  <c r="E498" i="4" l="1"/>
  <c r="N497" i="4"/>
  <c r="C1327" i="4"/>
  <c r="L1327" i="4"/>
  <c r="I1327" i="4"/>
  <c r="B1327" i="4"/>
  <c r="A1327" i="4"/>
  <c r="F1327" i="4"/>
  <c r="D1327" i="4"/>
  <c r="N1327" i="4"/>
  <c r="K1327" i="4"/>
  <c r="E1328" i="4" s="1"/>
  <c r="J1327" i="4"/>
  <c r="O1327" i="4"/>
  <c r="G1327" i="4"/>
  <c r="M1327" i="4"/>
  <c r="H1327" i="4"/>
  <c r="E839" i="4"/>
  <c r="N838" i="4"/>
  <c r="F1328" i="4" l="1"/>
  <c r="J1328" i="4"/>
  <c r="I1328" i="4"/>
  <c r="G1328" i="4"/>
  <c r="K1328" i="4"/>
  <c r="E1329" i="4" s="1"/>
  <c r="H1328" i="4"/>
  <c r="C1328" i="4"/>
  <c r="M1328" i="4"/>
  <c r="D1328" i="4"/>
  <c r="O1328" i="4"/>
  <c r="N1328" i="4"/>
  <c r="A1328" i="4"/>
  <c r="B1328" i="4"/>
  <c r="L1328" i="4"/>
  <c r="C839" i="4"/>
  <c r="D839" i="4" s="1"/>
  <c r="H839" i="4" s="1"/>
  <c r="B839" i="4"/>
  <c r="A839" i="4"/>
  <c r="M839" i="4"/>
  <c r="B498" i="4"/>
  <c r="M498" i="4"/>
  <c r="A498" i="4"/>
  <c r="C498" i="4"/>
  <c r="D498" i="4" s="1"/>
  <c r="H498" i="4" s="1"/>
  <c r="F498" i="4" l="1"/>
  <c r="G498" i="4" s="1"/>
  <c r="F839" i="4"/>
  <c r="G839" i="4"/>
  <c r="L1329" i="4"/>
  <c r="G1329" i="4"/>
  <c r="K1329" i="4"/>
  <c r="E1330" i="4" s="1"/>
  <c r="H1329" i="4"/>
  <c r="F1329" i="4"/>
  <c r="C1329" i="4"/>
  <c r="A1329" i="4"/>
  <c r="I1329" i="4"/>
  <c r="D1329" i="4"/>
  <c r="O1329" i="4"/>
  <c r="J1329" i="4"/>
  <c r="N1329" i="4"/>
  <c r="M1329" i="4"/>
  <c r="B1329" i="4"/>
  <c r="O839" i="4" l="1"/>
  <c r="L839" i="4"/>
  <c r="I839" i="4"/>
  <c r="K839" i="4" s="1"/>
  <c r="J839" i="4"/>
  <c r="M1330" i="4"/>
  <c r="L1330" i="4"/>
  <c r="F1330" i="4"/>
  <c r="J1330" i="4"/>
  <c r="G1330" i="4"/>
  <c r="D1330" i="4"/>
  <c r="H1330" i="4"/>
  <c r="B1330" i="4"/>
  <c r="N1330" i="4"/>
  <c r="A1330" i="4"/>
  <c r="I1330" i="4"/>
  <c r="C1330" i="4"/>
  <c r="K1330" i="4"/>
  <c r="E1331" i="4" s="1"/>
  <c r="O1330" i="4"/>
  <c r="L498" i="4"/>
  <c r="I498" i="4"/>
  <c r="K498" i="4" s="1"/>
  <c r="O498" i="4"/>
  <c r="J498" i="4"/>
  <c r="E840" i="4" l="1"/>
  <c r="N839" i="4"/>
  <c r="E499" i="4"/>
  <c r="N498" i="4"/>
  <c r="I1331" i="4"/>
  <c r="C1331" i="4"/>
  <c r="A1331" i="4"/>
  <c r="F1331" i="4"/>
  <c r="D1331" i="4"/>
  <c r="G1331" i="4"/>
  <c r="O1331" i="4"/>
  <c r="K1331" i="4"/>
  <c r="E1332" i="4" s="1"/>
  <c r="N1331" i="4"/>
  <c r="L1331" i="4"/>
  <c r="B1331" i="4"/>
  <c r="M1331" i="4"/>
  <c r="J1331" i="4"/>
  <c r="H1331" i="4"/>
  <c r="C1332" i="4" l="1"/>
  <c r="M1332" i="4"/>
  <c r="L1332" i="4"/>
  <c r="K1332" i="4"/>
  <c r="E1333" i="4" s="1"/>
  <c r="I1332" i="4"/>
  <c r="H1332" i="4"/>
  <c r="N1332" i="4"/>
  <c r="J1332" i="4"/>
  <c r="G1332" i="4"/>
  <c r="A1332" i="4"/>
  <c r="B1332" i="4"/>
  <c r="F1332" i="4"/>
  <c r="D1332" i="4"/>
  <c r="O1332" i="4"/>
  <c r="B499" i="4"/>
  <c r="M499" i="4"/>
  <c r="C499" i="4"/>
  <c r="D499" i="4" s="1"/>
  <c r="H499" i="4" s="1"/>
  <c r="A499" i="4"/>
  <c r="M840" i="4"/>
  <c r="C840" i="4"/>
  <c r="A840" i="4"/>
  <c r="B840" i="4"/>
  <c r="D840" i="4"/>
  <c r="H840" i="4" s="1"/>
  <c r="F840" i="4" l="1"/>
  <c r="G840" i="4"/>
  <c r="F499" i="4"/>
  <c r="G499" i="4"/>
  <c r="A1333" i="4"/>
  <c r="K1333" i="4"/>
  <c r="E1334" i="4" s="1"/>
  <c r="F1333" i="4"/>
  <c r="N1333" i="4"/>
  <c r="M1333" i="4"/>
  <c r="G1333" i="4"/>
  <c r="O1333" i="4"/>
  <c r="J1333" i="4"/>
  <c r="L1333" i="4"/>
  <c r="I1333" i="4"/>
  <c r="H1333" i="4"/>
  <c r="B1333" i="4"/>
  <c r="C1333" i="4"/>
  <c r="D1333" i="4"/>
  <c r="D1334" i="4" l="1"/>
  <c r="B1334" i="4"/>
  <c r="H1334" i="4"/>
  <c r="M1334" i="4"/>
  <c r="O1334" i="4"/>
  <c r="N1334" i="4"/>
  <c r="L1334" i="4"/>
  <c r="I1334" i="4"/>
  <c r="G1334" i="4"/>
  <c r="A1334" i="4"/>
  <c r="J1334" i="4"/>
  <c r="C1334" i="4"/>
  <c r="K1334" i="4"/>
  <c r="E1335" i="4" s="1"/>
  <c r="F1334" i="4"/>
  <c r="L499" i="4"/>
  <c r="J499" i="4"/>
  <c r="O499" i="4"/>
  <c r="I499" i="4"/>
  <c r="K499" i="4" s="1"/>
  <c r="I840" i="4"/>
  <c r="K840" i="4" s="1"/>
  <c r="J840" i="4"/>
  <c r="O840" i="4"/>
  <c r="L840" i="4"/>
  <c r="H1335" i="4" l="1"/>
  <c r="G1335" i="4"/>
  <c r="F1335" i="4"/>
  <c r="C1335" i="4"/>
  <c r="D1335" i="4"/>
  <c r="N1335" i="4"/>
  <c r="B1335" i="4"/>
  <c r="A1335" i="4"/>
  <c r="M1335" i="4"/>
  <c r="O1335" i="4"/>
  <c r="L1335" i="4"/>
  <c r="K1335" i="4"/>
  <c r="E1336" i="4" s="1"/>
  <c r="J1335" i="4"/>
  <c r="I1335" i="4"/>
  <c r="E500" i="4"/>
  <c r="N499" i="4"/>
  <c r="E841" i="4"/>
  <c r="N840" i="4"/>
  <c r="G1336" i="4" l="1"/>
  <c r="L1336" i="4"/>
  <c r="K1336" i="4"/>
  <c r="E1337" i="4" s="1"/>
  <c r="F1336" i="4"/>
  <c r="D1336" i="4"/>
  <c r="A1336" i="4"/>
  <c r="O1336" i="4"/>
  <c r="M1336" i="4"/>
  <c r="J1336" i="4"/>
  <c r="H1336" i="4"/>
  <c r="C1336" i="4"/>
  <c r="B1336" i="4"/>
  <c r="N1336" i="4"/>
  <c r="I1336" i="4"/>
  <c r="A841" i="4"/>
  <c r="C841" i="4"/>
  <c r="D841" i="4" s="1"/>
  <c r="H841" i="4" s="1"/>
  <c r="B841" i="4"/>
  <c r="M841" i="4"/>
  <c r="M500" i="4"/>
  <c r="B500" i="4"/>
  <c r="C500" i="4"/>
  <c r="D500" i="4" s="1"/>
  <c r="H500" i="4" s="1"/>
  <c r="A500" i="4"/>
  <c r="F500" i="4" l="1"/>
  <c r="F841" i="4"/>
  <c r="G841" i="4"/>
  <c r="H1337" i="4"/>
  <c r="C1337" i="4"/>
  <c r="D1337" i="4"/>
  <c r="O1337" i="4"/>
  <c r="I1337" i="4"/>
  <c r="G1337" i="4"/>
  <c r="F1337" i="4"/>
  <c r="B1337" i="4"/>
  <c r="A1337" i="4"/>
  <c r="M1337" i="4"/>
  <c r="J1337" i="4"/>
  <c r="N1337" i="4"/>
  <c r="L1337" i="4"/>
  <c r="K1337" i="4"/>
  <c r="E1338" i="4" s="1"/>
  <c r="C1338" i="4" l="1"/>
  <c r="N1338" i="4"/>
  <c r="K1338" i="4"/>
  <c r="E1339" i="4" s="1"/>
  <c r="F1338" i="4"/>
  <c r="B1338" i="4"/>
  <c r="M1338" i="4"/>
  <c r="O1338" i="4"/>
  <c r="I1338" i="4"/>
  <c r="D1338" i="4"/>
  <c r="A1338" i="4"/>
  <c r="H1338" i="4"/>
  <c r="L1338" i="4"/>
  <c r="J1338" i="4"/>
  <c r="G1338" i="4"/>
  <c r="L841" i="4"/>
  <c r="O841" i="4"/>
  <c r="I841" i="4"/>
  <c r="K841" i="4" s="1"/>
  <c r="J841" i="4"/>
  <c r="G500" i="4"/>
  <c r="O500" i="4" s="1"/>
  <c r="J500" i="4" l="1"/>
  <c r="I500" i="4"/>
  <c r="K500" i="4" s="1"/>
  <c r="L500" i="4"/>
  <c r="F1339" i="4"/>
  <c r="D1339" i="4"/>
  <c r="B1339" i="4"/>
  <c r="O1339" i="4"/>
  <c r="G1339" i="4"/>
  <c r="N1339" i="4"/>
  <c r="H1339" i="4"/>
  <c r="C1339" i="4"/>
  <c r="A1339" i="4"/>
  <c r="M1339" i="4"/>
  <c r="K1339" i="4"/>
  <c r="E1340" i="4" s="1"/>
  <c r="L1339" i="4"/>
  <c r="J1339" i="4"/>
  <c r="I1339" i="4"/>
  <c r="E842" i="4"/>
  <c r="N841" i="4"/>
  <c r="N1340" i="4" l="1"/>
  <c r="D1340" i="4"/>
  <c r="C1340" i="4"/>
  <c r="M1340" i="4"/>
  <c r="K1340" i="4"/>
  <c r="E1341" i="4" s="1"/>
  <c r="J1340" i="4"/>
  <c r="G1340" i="4"/>
  <c r="I1340" i="4"/>
  <c r="B1340" i="4"/>
  <c r="H1340" i="4"/>
  <c r="L1340" i="4"/>
  <c r="A1340" i="4"/>
  <c r="O1340" i="4"/>
  <c r="F1340" i="4"/>
  <c r="C842" i="4"/>
  <c r="B842" i="4"/>
  <c r="D842" i="4"/>
  <c r="M842" i="4"/>
  <c r="A842" i="4"/>
  <c r="H842" i="4"/>
  <c r="F842" i="4" s="1"/>
  <c r="E501" i="4"/>
  <c r="N500" i="4"/>
  <c r="G842" i="4" l="1"/>
  <c r="L842" i="4" s="1"/>
  <c r="O1341" i="4"/>
  <c r="M1341" i="4"/>
  <c r="B1341" i="4"/>
  <c r="A1341" i="4"/>
  <c r="I1341" i="4"/>
  <c r="N1341" i="4"/>
  <c r="C1341" i="4"/>
  <c r="J1341" i="4"/>
  <c r="F1341" i="4"/>
  <c r="D1341" i="4"/>
  <c r="H1341" i="4"/>
  <c r="G1341" i="4"/>
  <c r="L1341" i="4"/>
  <c r="K1341" i="4"/>
  <c r="E1342" i="4" s="1"/>
  <c r="M501" i="4"/>
  <c r="C501" i="4"/>
  <c r="D501" i="4" s="1"/>
  <c r="H501" i="4" s="1"/>
  <c r="B501" i="4"/>
  <c r="A501" i="4"/>
  <c r="F501" i="4" l="1"/>
  <c r="O842" i="4"/>
  <c r="F1342" i="4"/>
  <c r="B1342" i="4"/>
  <c r="O1342" i="4"/>
  <c r="H1342" i="4"/>
  <c r="A1342" i="4"/>
  <c r="N1342" i="4"/>
  <c r="K1342" i="4"/>
  <c r="E1343" i="4" s="1"/>
  <c r="J1342" i="4"/>
  <c r="I1342" i="4"/>
  <c r="D1342" i="4"/>
  <c r="G1342" i="4"/>
  <c r="C1342" i="4"/>
  <c r="M1342" i="4"/>
  <c r="L1342" i="4"/>
  <c r="J842" i="4"/>
  <c r="I842" i="4"/>
  <c r="K842" i="4" s="1"/>
  <c r="E843" i="4" l="1"/>
  <c r="N842" i="4"/>
  <c r="L1343" i="4"/>
  <c r="O1343" i="4"/>
  <c r="M1343" i="4"/>
  <c r="F1343" i="4"/>
  <c r="K1343" i="4"/>
  <c r="E1344" i="4" s="1"/>
  <c r="C1343" i="4"/>
  <c r="A1343" i="4"/>
  <c r="J1343" i="4"/>
  <c r="D1343" i="4"/>
  <c r="I1343" i="4"/>
  <c r="H1343" i="4"/>
  <c r="G1343" i="4"/>
  <c r="B1343" i="4"/>
  <c r="N1343" i="4"/>
  <c r="G501" i="4"/>
  <c r="I501" i="4" s="1"/>
  <c r="K501" i="4" s="1"/>
  <c r="E502" i="4" l="1"/>
  <c r="N501" i="4"/>
  <c r="J501" i="4"/>
  <c r="L501" i="4"/>
  <c r="J1344" i="4"/>
  <c r="D1344" i="4"/>
  <c r="I1344" i="4"/>
  <c r="C1344" i="4"/>
  <c r="B1344" i="4"/>
  <c r="H1344" i="4"/>
  <c r="G1344" i="4"/>
  <c r="F1344" i="4"/>
  <c r="A1344" i="4"/>
  <c r="N1344" i="4"/>
  <c r="O1344" i="4"/>
  <c r="M1344" i="4"/>
  <c r="L1344" i="4"/>
  <c r="K1344" i="4"/>
  <c r="E1345" i="4" s="1"/>
  <c r="O501" i="4"/>
  <c r="C843" i="4"/>
  <c r="D843" i="4" s="1"/>
  <c r="H843" i="4" s="1"/>
  <c r="B843" i="4"/>
  <c r="A843" i="4"/>
  <c r="M843" i="4"/>
  <c r="F843" i="4" l="1"/>
  <c r="G843" i="4" s="1"/>
  <c r="A1345" i="4"/>
  <c r="M1345" i="4"/>
  <c r="D1345" i="4"/>
  <c r="G1345" i="4"/>
  <c r="N1345" i="4"/>
  <c r="I1345" i="4"/>
  <c r="H1345" i="4"/>
  <c r="K1345" i="4"/>
  <c r="E1346" i="4" s="1"/>
  <c r="J1345" i="4"/>
  <c r="L1345" i="4"/>
  <c r="C1345" i="4"/>
  <c r="F1345" i="4"/>
  <c r="B1345" i="4"/>
  <c r="O1345" i="4"/>
  <c r="B502" i="4"/>
  <c r="C502" i="4"/>
  <c r="D502" i="4" s="1"/>
  <c r="H502" i="4" s="1"/>
  <c r="M502" i="4"/>
  <c r="A502" i="4"/>
  <c r="F502" i="4" l="1"/>
  <c r="L1346" i="4"/>
  <c r="K1346" i="4"/>
  <c r="E1347" i="4" s="1"/>
  <c r="J1346" i="4"/>
  <c r="G1346" i="4"/>
  <c r="D1346" i="4"/>
  <c r="A1346" i="4"/>
  <c r="N1346" i="4"/>
  <c r="M1346" i="4"/>
  <c r="H1346" i="4"/>
  <c r="C1346" i="4"/>
  <c r="F1346" i="4"/>
  <c r="I1346" i="4"/>
  <c r="B1346" i="4"/>
  <c r="O1346" i="4"/>
  <c r="O843" i="4"/>
  <c r="L843" i="4"/>
  <c r="J843" i="4"/>
  <c r="I843" i="4"/>
  <c r="K843" i="4" s="1"/>
  <c r="E844" i="4" l="1"/>
  <c r="N843" i="4"/>
  <c r="F1347" i="4"/>
  <c r="D1347" i="4"/>
  <c r="C1347" i="4"/>
  <c r="L1347" i="4"/>
  <c r="A1347" i="4"/>
  <c r="G1347" i="4"/>
  <c r="N1347" i="4"/>
  <c r="M1347" i="4"/>
  <c r="K1347" i="4"/>
  <c r="E1348" i="4" s="1"/>
  <c r="O1347" i="4"/>
  <c r="B1347" i="4"/>
  <c r="I1347" i="4"/>
  <c r="H1347" i="4"/>
  <c r="J1347" i="4"/>
  <c r="G502" i="4"/>
  <c r="O502" i="4" s="1"/>
  <c r="L502" i="4" l="1"/>
  <c r="J502" i="4"/>
  <c r="I502" i="4"/>
  <c r="K502" i="4" s="1"/>
  <c r="H1348" i="4"/>
  <c r="G1348" i="4"/>
  <c r="F1348" i="4"/>
  <c r="A1348" i="4"/>
  <c r="K1348" i="4"/>
  <c r="E1349" i="4" s="1"/>
  <c r="N1348" i="4"/>
  <c r="D1348" i="4"/>
  <c r="M1348" i="4"/>
  <c r="O1348" i="4"/>
  <c r="C1348" i="4"/>
  <c r="B1348" i="4"/>
  <c r="L1348" i="4"/>
  <c r="J1348" i="4"/>
  <c r="I1348" i="4"/>
  <c r="K844" i="4"/>
  <c r="E845" i="4" s="1"/>
  <c r="J844" i="4"/>
  <c r="B844" i="4"/>
  <c r="C844" i="4"/>
  <c r="F844" i="4"/>
  <c r="G844" i="4"/>
  <c r="A844" i="4"/>
  <c r="H844" i="4"/>
  <c r="D844" i="4"/>
  <c r="N844" i="4"/>
  <c r="I844" i="4"/>
  <c r="M844" i="4"/>
  <c r="O844" i="4"/>
  <c r="L844" i="4"/>
  <c r="D845" i="4" l="1"/>
  <c r="A845" i="4"/>
  <c r="L845" i="4"/>
  <c r="O845" i="4"/>
  <c r="B845" i="4"/>
  <c r="G845" i="4"/>
  <c r="M845" i="4"/>
  <c r="N845" i="4"/>
  <c r="J845" i="4"/>
  <c r="H845" i="4"/>
  <c r="F845" i="4"/>
  <c r="I845" i="4"/>
  <c r="K845" i="4"/>
  <c r="E846" i="4" s="1"/>
  <c r="C845" i="4"/>
  <c r="L1349" i="4"/>
  <c r="K1349" i="4"/>
  <c r="E1350" i="4" s="1"/>
  <c r="J1349" i="4"/>
  <c r="I1349" i="4"/>
  <c r="O1349" i="4"/>
  <c r="H1349" i="4"/>
  <c r="D1349" i="4"/>
  <c r="A1349" i="4"/>
  <c r="F1349" i="4"/>
  <c r="C1349" i="4"/>
  <c r="G1349" i="4"/>
  <c r="N1349" i="4"/>
  <c r="M1349" i="4"/>
  <c r="B1349" i="4"/>
  <c r="E503" i="4"/>
  <c r="N502" i="4"/>
  <c r="F846" i="4" l="1"/>
  <c r="M846" i="4"/>
  <c r="D846" i="4"/>
  <c r="B846" i="4"/>
  <c r="O846" i="4"/>
  <c r="A846" i="4"/>
  <c r="K846" i="4"/>
  <c r="E847" i="4" s="1"/>
  <c r="C846" i="4"/>
  <c r="G846" i="4"/>
  <c r="I846" i="4"/>
  <c r="H846" i="4"/>
  <c r="N846" i="4"/>
  <c r="L846" i="4"/>
  <c r="J846" i="4"/>
  <c r="I1350" i="4"/>
  <c r="H1350" i="4"/>
  <c r="M1350" i="4"/>
  <c r="L1350" i="4"/>
  <c r="G1350" i="4"/>
  <c r="F1350" i="4"/>
  <c r="D1350" i="4"/>
  <c r="O1350" i="4"/>
  <c r="A1350" i="4"/>
  <c r="K1350" i="4"/>
  <c r="E1351" i="4" s="1"/>
  <c r="J1350" i="4"/>
  <c r="B1350" i="4"/>
  <c r="N1350" i="4"/>
  <c r="C1350" i="4"/>
  <c r="C503" i="4"/>
  <c r="M503" i="4"/>
  <c r="D503" i="4"/>
  <c r="H503" i="4" s="1"/>
  <c r="B503" i="4"/>
  <c r="A503" i="4"/>
  <c r="F503" i="4" l="1"/>
  <c r="C847" i="4"/>
  <c r="B847" i="4"/>
  <c r="N847" i="4"/>
  <c r="H847" i="4"/>
  <c r="J847" i="4"/>
  <c r="G847" i="4"/>
  <c r="F847" i="4"/>
  <c r="O847" i="4"/>
  <c r="I847" i="4"/>
  <c r="M847" i="4"/>
  <c r="A847" i="4"/>
  <c r="L847" i="4"/>
  <c r="K847" i="4"/>
  <c r="E848" i="4" s="1"/>
  <c r="D847" i="4"/>
  <c r="B1351" i="4"/>
  <c r="O1351" i="4"/>
  <c r="A1351" i="4"/>
  <c r="G1351" i="4"/>
  <c r="F1351" i="4"/>
  <c r="C1351" i="4"/>
  <c r="N1351" i="4"/>
  <c r="M1351" i="4"/>
  <c r="J1351" i="4"/>
  <c r="D1351" i="4"/>
  <c r="I1351" i="4"/>
  <c r="H1351" i="4"/>
  <c r="L1351" i="4"/>
  <c r="K1351" i="4"/>
  <c r="E1352" i="4" s="1"/>
  <c r="J1352" i="4" l="1"/>
  <c r="D1352" i="4"/>
  <c r="C1352" i="4"/>
  <c r="A1352" i="4"/>
  <c r="N1352" i="4"/>
  <c r="O1352" i="4"/>
  <c r="M1352" i="4"/>
  <c r="L1352" i="4"/>
  <c r="I1352" i="4"/>
  <c r="B1352" i="4"/>
  <c r="G1352" i="4"/>
  <c r="H1352" i="4"/>
  <c r="F1352" i="4"/>
  <c r="K1352" i="4"/>
  <c r="E1353" i="4" s="1"/>
  <c r="O848" i="4"/>
  <c r="D848" i="4"/>
  <c r="A848" i="4"/>
  <c r="L848" i="4"/>
  <c r="J848" i="4"/>
  <c r="H848" i="4"/>
  <c r="N848" i="4"/>
  <c r="I848" i="4"/>
  <c r="C848" i="4"/>
  <c r="M848" i="4"/>
  <c r="K848" i="4"/>
  <c r="E849" i="4" s="1"/>
  <c r="B848" i="4"/>
  <c r="G848" i="4"/>
  <c r="F848" i="4"/>
  <c r="G503" i="4"/>
  <c r="L503" i="4" s="1"/>
  <c r="H1353" i="4" l="1"/>
  <c r="G1353" i="4"/>
  <c r="F1353" i="4"/>
  <c r="J1353" i="4"/>
  <c r="B1353" i="4"/>
  <c r="C1353" i="4"/>
  <c r="A1353" i="4"/>
  <c r="L1353" i="4"/>
  <c r="D1353" i="4"/>
  <c r="K1353" i="4"/>
  <c r="E1354" i="4" s="1"/>
  <c r="I1353" i="4"/>
  <c r="N1353" i="4"/>
  <c r="M1353" i="4"/>
  <c r="O1353" i="4"/>
  <c r="J503" i="4"/>
  <c r="I503" i="4"/>
  <c r="K503" i="4" s="1"/>
  <c r="O503" i="4"/>
  <c r="C849" i="4"/>
  <c r="B849" i="4"/>
  <c r="O849" i="4"/>
  <c r="N849" i="4"/>
  <c r="M849" i="4"/>
  <c r="I849" i="4"/>
  <c r="G849" i="4"/>
  <c r="F849" i="4"/>
  <c r="L849" i="4"/>
  <c r="H849" i="4"/>
  <c r="D849" i="4"/>
  <c r="A849" i="4"/>
  <c r="K849" i="4"/>
  <c r="E850" i="4" s="1"/>
  <c r="J849" i="4"/>
  <c r="N1354" i="4" l="1"/>
  <c r="C1354" i="4"/>
  <c r="K1354" i="4"/>
  <c r="E1355" i="4" s="1"/>
  <c r="O1354" i="4"/>
  <c r="A1354" i="4"/>
  <c r="I1354" i="4"/>
  <c r="H1354" i="4"/>
  <c r="M1354" i="4"/>
  <c r="L1354" i="4"/>
  <c r="J1354" i="4"/>
  <c r="D1354" i="4"/>
  <c r="G1354" i="4"/>
  <c r="F1354" i="4"/>
  <c r="B1354" i="4"/>
  <c r="F850" i="4"/>
  <c r="A850" i="4"/>
  <c r="D850" i="4"/>
  <c r="K850" i="4"/>
  <c r="E851" i="4" s="1"/>
  <c r="M850" i="4"/>
  <c r="N850" i="4"/>
  <c r="G850" i="4"/>
  <c r="C850" i="4"/>
  <c r="B850" i="4"/>
  <c r="J850" i="4"/>
  <c r="O850" i="4"/>
  <c r="I850" i="4"/>
  <c r="H850" i="4"/>
  <c r="L850" i="4"/>
  <c r="E504" i="4"/>
  <c r="N503" i="4"/>
  <c r="G1355" i="4" l="1"/>
  <c r="B1355" i="4"/>
  <c r="L1355" i="4"/>
  <c r="C1355" i="4"/>
  <c r="M1355" i="4"/>
  <c r="O1355" i="4"/>
  <c r="K1355" i="4"/>
  <c r="E1356" i="4" s="1"/>
  <c r="J1355" i="4"/>
  <c r="F1355" i="4"/>
  <c r="A1355" i="4"/>
  <c r="D1355" i="4"/>
  <c r="I1355" i="4"/>
  <c r="N1355" i="4"/>
  <c r="H1355" i="4"/>
  <c r="F851" i="4"/>
  <c r="C851" i="4"/>
  <c r="J851" i="4"/>
  <c r="O851" i="4"/>
  <c r="A851" i="4"/>
  <c r="L851" i="4"/>
  <c r="H851" i="4"/>
  <c r="K851" i="4"/>
  <c r="E852" i="4" s="1"/>
  <c r="M851" i="4"/>
  <c r="D851" i="4"/>
  <c r="B851" i="4"/>
  <c r="I851" i="4"/>
  <c r="G851" i="4"/>
  <c r="N851" i="4"/>
  <c r="B504" i="4"/>
  <c r="M504" i="4"/>
  <c r="C504" i="4"/>
  <c r="D504" i="4" s="1"/>
  <c r="H504" i="4" s="1"/>
  <c r="A504" i="4"/>
  <c r="F504" i="4" l="1"/>
  <c r="G504" i="4"/>
  <c r="K1356" i="4"/>
  <c r="E1357" i="4" s="1"/>
  <c r="J1356" i="4"/>
  <c r="I1356" i="4"/>
  <c r="D1356" i="4"/>
  <c r="C1356" i="4"/>
  <c r="B1356" i="4"/>
  <c r="O1356" i="4"/>
  <c r="M1356" i="4"/>
  <c r="A1356" i="4"/>
  <c r="L1356" i="4"/>
  <c r="H1356" i="4"/>
  <c r="N1356" i="4"/>
  <c r="G1356" i="4"/>
  <c r="F1356" i="4"/>
  <c r="G852" i="4"/>
  <c r="I852" i="4"/>
  <c r="F852" i="4"/>
  <c r="O852" i="4"/>
  <c r="N852" i="4"/>
  <c r="J852" i="4"/>
  <c r="B852" i="4"/>
  <c r="D852" i="4"/>
  <c r="C852" i="4"/>
  <c r="M852" i="4"/>
  <c r="L852" i="4"/>
  <c r="H852" i="4"/>
  <c r="A852" i="4"/>
  <c r="K852" i="4"/>
  <c r="E853" i="4" s="1"/>
  <c r="L1357" i="4" l="1"/>
  <c r="J1357" i="4"/>
  <c r="H1357" i="4"/>
  <c r="A1357" i="4"/>
  <c r="K1357" i="4"/>
  <c r="E1358" i="4" s="1"/>
  <c r="F1357" i="4"/>
  <c r="I1357" i="4"/>
  <c r="C1357" i="4"/>
  <c r="B1357" i="4"/>
  <c r="O1357" i="4"/>
  <c r="M1357" i="4"/>
  <c r="N1357" i="4"/>
  <c r="G1357" i="4"/>
  <c r="D1357" i="4"/>
  <c r="C853" i="4"/>
  <c r="H853" i="4"/>
  <c r="A853" i="4"/>
  <c r="K853" i="4"/>
  <c r="E854" i="4" s="1"/>
  <c r="G853" i="4"/>
  <c r="O853" i="4"/>
  <c r="I853" i="4"/>
  <c r="J853" i="4"/>
  <c r="F853" i="4"/>
  <c r="D853" i="4"/>
  <c r="N853" i="4"/>
  <c r="B853" i="4"/>
  <c r="M853" i="4"/>
  <c r="L853" i="4"/>
  <c r="L504" i="4"/>
  <c r="O504" i="4"/>
  <c r="I504" i="4"/>
  <c r="K504" i="4" s="1"/>
  <c r="J504" i="4"/>
  <c r="B1358" i="4" l="1"/>
  <c r="O1358" i="4"/>
  <c r="A1358" i="4"/>
  <c r="D1358" i="4"/>
  <c r="N1358" i="4"/>
  <c r="K1358" i="4"/>
  <c r="E1359" i="4" s="1"/>
  <c r="J1358" i="4"/>
  <c r="M1358" i="4"/>
  <c r="G1358" i="4"/>
  <c r="L1358" i="4"/>
  <c r="I1358" i="4"/>
  <c r="C1358" i="4"/>
  <c r="H1358" i="4"/>
  <c r="F1358" i="4"/>
  <c r="M854" i="4"/>
  <c r="I854" i="4"/>
  <c r="D854" i="4"/>
  <c r="G854" i="4"/>
  <c r="A854" i="4"/>
  <c r="L854" i="4"/>
  <c r="H854" i="4"/>
  <c r="K854" i="4"/>
  <c r="E855" i="4" s="1"/>
  <c r="C854" i="4"/>
  <c r="J854" i="4"/>
  <c r="O854" i="4"/>
  <c r="N854" i="4"/>
  <c r="B854" i="4"/>
  <c r="F854" i="4"/>
  <c r="E505" i="4"/>
  <c r="N504" i="4"/>
  <c r="I855" i="4" l="1"/>
  <c r="H855" i="4"/>
  <c r="F855" i="4"/>
  <c r="A855" i="4"/>
  <c r="G855" i="4"/>
  <c r="C855" i="4"/>
  <c r="B855" i="4"/>
  <c r="J855" i="4"/>
  <c r="L855" i="4"/>
  <c r="M855" i="4"/>
  <c r="K855" i="4"/>
  <c r="E856" i="4" s="1"/>
  <c r="D855" i="4"/>
  <c r="N855" i="4"/>
  <c r="O855" i="4"/>
  <c r="L1359" i="4"/>
  <c r="K1359" i="4"/>
  <c r="E1360" i="4" s="1"/>
  <c r="H1359" i="4"/>
  <c r="G1359" i="4"/>
  <c r="D1359" i="4"/>
  <c r="J1359" i="4"/>
  <c r="I1359" i="4"/>
  <c r="C1359" i="4"/>
  <c r="F1359" i="4"/>
  <c r="N1359" i="4"/>
  <c r="M1359" i="4"/>
  <c r="B1359" i="4"/>
  <c r="O1359" i="4"/>
  <c r="A1359" i="4"/>
  <c r="A505" i="4"/>
  <c r="C505" i="4"/>
  <c r="D505" i="4" s="1"/>
  <c r="H505" i="4" s="1"/>
  <c r="B505" i="4"/>
  <c r="M505" i="4"/>
  <c r="F505" i="4" l="1"/>
  <c r="A856" i="4"/>
  <c r="J856" i="4"/>
  <c r="O856" i="4"/>
  <c r="F856" i="4"/>
  <c r="M856" i="4"/>
  <c r="D856" i="4"/>
  <c r="K856" i="4"/>
  <c r="E857" i="4" s="1"/>
  <c r="I856" i="4"/>
  <c r="C856" i="4"/>
  <c r="N856" i="4"/>
  <c r="L856" i="4"/>
  <c r="H856" i="4"/>
  <c r="G856" i="4"/>
  <c r="B856" i="4"/>
  <c r="K1360" i="4"/>
  <c r="E1361" i="4" s="1"/>
  <c r="F1360" i="4"/>
  <c r="I1360" i="4"/>
  <c r="J1360" i="4"/>
  <c r="D1360" i="4"/>
  <c r="G1360" i="4"/>
  <c r="A1360" i="4"/>
  <c r="C1360" i="4"/>
  <c r="O1360" i="4"/>
  <c r="N1360" i="4"/>
  <c r="M1360" i="4"/>
  <c r="L1360" i="4"/>
  <c r="H1360" i="4"/>
  <c r="B1360" i="4"/>
  <c r="C857" i="4" l="1"/>
  <c r="I857" i="4"/>
  <c r="L857" i="4"/>
  <c r="G857" i="4"/>
  <c r="N857" i="4"/>
  <c r="K857" i="4"/>
  <c r="E858" i="4" s="1"/>
  <c r="D857" i="4"/>
  <c r="F857" i="4"/>
  <c r="O857" i="4"/>
  <c r="J857" i="4"/>
  <c r="A857" i="4"/>
  <c r="B857" i="4"/>
  <c r="M857" i="4"/>
  <c r="H857" i="4"/>
  <c r="G1361" i="4"/>
  <c r="D1361" i="4"/>
  <c r="H1361" i="4"/>
  <c r="A1361" i="4"/>
  <c r="F1361" i="4"/>
  <c r="L1361" i="4"/>
  <c r="C1361" i="4"/>
  <c r="K1361" i="4"/>
  <c r="E1362" i="4" s="1"/>
  <c r="J1361" i="4"/>
  <c r="B1361" i="4"/>
  <c r="M1361" i="4"/>
  <c r="N1361" i="4"/>
  <c r="O1361" i="4"/>
  <c r="I1361" i="4"/>
  <c r="G505" i="4"/>
  <c r="O505" i="4" s="1"/>
  <c r="N1362" i="4" l="1"/>
  <c r="H1362" i="4"/>
  <c r="C1362" i="4"/>
  <c r="B1362" i="4"/>
  <c r="O1362" i="4"/>
  <c r="I1362" i="4"/>
  <c r="F1362" i="4"/>
  <c r="D1362" i="4"/>
  <c r="A1362" i="4"/>
  <c r="L1362" i="4"/>
  <c r="M1362" i="4"/>
  <c r="G1362" i="4"/>
  <c r="K1362" i="4"/>
  <c r="E1363" i="4" s="1"/>
  <c r="J1362" i="4"/>
  <c r="K858" i="4"/>
  <c r="E859" i="4" s="1"/>
  <c r="C858" i="4"/>
  <c r="J858" i="4"/>
  <c r="D858" i="4"/>
  <c r="B858" i="4"/>
  <c r="I858" i="4"/>
  <c r="M858" i="4"/>
  <c r="O858" i="4"/>
  <c r="N858" i="4"/>
  <c r="L858" i="4"/>
  <c r="H858" i="4"/>
  <c r="G858" i="4"/>
  <c r="F858" i="4"/>
  <c r="A858" i="4"/>
  <c r="I505" i="4"/>
  <c r="K505" i="4" s="1"/>
  <c r="J505" i="4"/>
  <c r="L505" i="4"/>
  <c r="J1363" i="4" l="1"/>
  <c r="I1363" i="4"/>
  <c r="B1363" i="4"/>
  <c r="L1363" i="4"/>
  <c r="M1363" i="4"/>
  <c r="H1363" i="4"/>
  <c r="F1363" i="4"/>
  <c r="D1363" i="4"/>
  <c r="C1363" i="4"/>
  <c r="N1363" i="4"/>
  <c r="G1363" i="4"/>
  <c r="O1363" i="4"/>
  <c r="K1363" i="4"/>
  <c r="E1364" i="4" s="1"/>
  <c r="A1363" i="4"/>
  <c r="E506" i="4"/>
  <c r="N505" i="4"/>
  <c r="L859" i="4"/>
  <c r="A859" i="4"/>
  <c r="D859" i="4"/>
  <c r="J859" i="4"/>
  <c r="B859" i="4"/>
  <c r="H859" i="4"/>
  <c r="K859" i="4"/>
  <c r="E860" i="4" s="1"/>
  <c r="C859" i="4"/>
  <c r="I859" i="4"/>
  <c r="N859" i="4"/>
  <c r="O859" i="4"/>
  <c r="M859" i="4"/>
  <c r="G859" i="4"/>
  <c r="F859" i="4"/>
  <c r="G1364" i="4" l="1"/>
  <c r="F1364" i="4"/>
  <c r="C1364" i="4"/>
  <c r="B1364" i="4"/>
  <c r="J1364" i="4"/>
  <c r="I1364" i="4"/>
  <c r="D1364" i="4"/>
  <c r="O1364" i="4"/>
  <c r="A1364" i="4"/>
  <c r="K1364" i="4"/>
  <c r="E1365" i="4" s="1"/>
  <c r="H1364" i="4"/>
  <c r="N1364" i="4"/>
  <c r="M1364" i="4"/>
  <c r="L1364" i="4"/>
  <c r="F860" i="4"/>
  <c r="J860" i="4"/>
  <c r="I860" i="4"/>
  <c r="K860" i="4"/>
  <c r="E861" i="4" s="1"/>
  <c r="D860" i="4"/>
  <c r="B860" i="4"/>
  <c r="A860" i="4"/>
  <c r="C860" i="4"/>
  <c r="M860" i="4"/>
  <c r="O860" i="4"/>
  <c r="H860" i="4"/>
  <c r="G860" i="4"/>
  <c r="N860" i="4"/>
  <c r="L860" i="4"/>
  <c r="B506" i="4"/>
  <c r="A506" i="4"/>
  <c r="M506" i="4"/>
  <c r="C506" i="4"/>
  <c r="D506" i="4" s="1"/>
  <c r="H506" i="4" s="1"/>
  <c r="F506" i="4" l="1"/>
  <c r="G506" i="4" s="1"/>
  <c r="D1365" i="4"/>
  <c r="B1365" i="4"/>
  <c r="O1365" i="4"/>
  <c r="A1365" i="4"/>
  <c r="M1365" i="4"/>
  <c r="L1365" i="4"/>
  <c r="G1365" i="4"/>
  <c r="K1365" i="4"/>
  <c r="E1366" i="4" s="1"/>
  <c r="C1365" i="4"/>
  <c r="N1365" i="4"/>
  <c r="J1365" i="4"/>
  <c r="F1365" i="4"/>
  <c r="I1365" i="4"/>
  <c r="H1365" i="4"/>
  <c r="B861" i="4"/>
  <c r="M861" i="4"/>
  <c r="H861" i="4"/>
  <c r="F861" i="4"/>
  <c r="G861" i="4"/>
  <c r="C861" i="4"/>
  <c r="A861" i="4"/>
  <c r="N861" i="4"/>
  <c r="K861" i="4"/>
  <c r="E862" i="4" s="1"/>
  <c r="I861" i="4"/>
  <c r="O861" i="4"/>
  <c r="D861" i="4"/>
  <c r="J861" i="4"/>
  <c r="L861" i="4"/>
  <c r="C862" i="4" l="1"/>
  <c r="J862" i="4"/>
  <c r="M862" i="4"/>
  <c r="D862" i="4"/>
  <c r="B862" i="4"/>
  <c r="O862" i="4"/>
  <c r="I862" i="4"/>
  <c r="N862" i="4"/>
  <c r="L862" i="4"/>
  <c r="K862" i="4"/>
  <c r="E863" i="4" s="1"/>
  <c r="A862" i="4"/>
  <c r="H862" i="4"/>
  <c r="G862" i="4"/>
  <c r="F862" i="4"/>
  <c r="K1366" i="4"/>
  <c r="J1366" i="4"/>
  <c r="E10" i="3" s="1"/>
  <c r="F1366" i="4"/>
  <c r="O1366" i="4"/>
  <c r="E8" i="3" s="1"/>
  <c r="N1366" i="4"/>
  <c r="E7" i="3" s="1"/>
  <c r="E13" i="3" s="1"/>
  <c r="L1366" i="4"/>
  <c r="I1366" i="4"/>
  <c r="B33" i="3" s="1"/>
  <c r="D33" i="3" s="1"/>
  <c r="F33" i="3" s="1"/>
  <c r="H1366" i="4"/>
  <c r="E9" i="3" s="1"/>
  <c r="E12" i="3" s="1"/>
  <c r="C1366" i="4"/>
  <c r="M1366" i="4"/>
  <c r="G1366" i="4"/>
  <c r="D1366" i="4"/>
  <c r="B1366" i="4"/>
  <c r="A1366" i="4"/>
  <c r="I506" i="4"/>
  <c r="K506" i="4" s="1"/>
  <c r="O506" i="4"/>
  <c r="J506" i="4"/>
  <c r="L506" i="4"/>
  <c r="J863" i="4" l="1"/>
  <c r="L863" i="4"/>
  <c r="O863" i="4"/>
  <c r="A863" i="4"/>
  <c r="I863" i="4"/>
  <c r="F863" i="4"/>
  <c r="B863" i="4"/>
  <c r="H863" i="4"/>
  <c r="G863" i="4"/>
  <c r="M863" i="4"/>
  <c r="D863" i="4"/>
  <c r="C863" i="4"/>
  <c r="N863" i="4"/>
  <c r="K863" i="4"/>
  <c r="E864" i="4" s="1"/>
  <c r="E11" i="3"/>
  <c r="B37" i="3"/>
  <c r="D37" i="3" s="1"/>
  <c r="F37" i="3" s="1"/>
  <c r="E507" i="4"/>
  <c r="N506" i="4"/>
  <c r="I864" i="4" l="1"/>
  <c r="C864" i="4"/>
  <c r="B864" i="4"/>
  <c r="A864" i="4"/>
  <c r="N864" i="4"/>
  <c r="L864" i="4"/>
  <c r="J864" i="4"/>
  <c r="D864" i="4"/>
  <c r="M864" i="4"/>
  <c r="K864" i="4"/>
  <c r="E865" i="4" s="1"/>
  <c r="H864" i="4"/>
  <c r="G864" i="4"/>
  <c r="F864" i="4"/>
  <c r="O864" i="4"/>
  <c r="C507" i="4"/>
  <c r="D507" i="4" s="1"/>
  <c r="H507" i="4" s="1"/>
  <c r="B507" i="4"/>
  <c r="A507" i="4"/>
  <c r="M507" i="4"/>
  <c r="F507" i="4" l="1"/>
  <c r="C865" i="4"/>
  <c r="G865" i="4"/>
  <c r="D865" i="4"/>
  <c r="B865" i="4"/>
  <c r="K865" i="4"/>
  <c r="E866" i="4" s="1"/>
  <c r="J865" i="4"/>
  <c r="M865" i="4"/>
  <c r="L865" i="4"/>
  <c r="H865" i="4"/>
  <c r="A865" i="4"/>
  <c r="O865" i="4"/>
  <c r="F865" i="4"/>
  <c r="I865" i="4"/>
  <c r="N865" i="4"/>
  <c r="I866" i="4" l="1"/>
  <c r="M866" i="4"/>
  <c r="B866" i="4"/>
  <c r="A866" i="4"/>
  <c r="O866" i="4"/>
  <c r="N866" i="4"/>
  <c r="H866" i="4"/>
  <c r="L866" i="4"/>
  <c r="G866" i="4"/>
  <c r="K866" i="4"/>
  <c r="E867" i="4" s="1"/>
  <c r="F866" i="4"/>
  <c r="C866" i="4"/>
  <c r="D866" i="4"/>
  <c r="J866" i="4"/>
  <c r="G507" i="4"/>
  <c r="O507" i="4" s="1"/>
  <c r="K867" i="4" l="1"/>
  <c r="E868" i="4" s="1"/>
  <c r="J867" i="4"/>
  <c r="F867" i="4"/>
  <c r="H867" i="4"/>
  <c r="M867" i="4"/>
  <c r="G867" i="4"/>
  <c r="I867" i="4"/>
  <c r="C867" i="4"/>
  <c r="O867" i="4"/>
  <c r="N867" i="4"/>
  <c r="L867" i="4"/>
  <c r="B867" i="4"/>
  <c r="A867" i="4"/>
  <c r="D867" i="4"/>
  <c r="I507" i="4"/>
  <c r="K507" i="4" s="1"/>
  <c r="J507" i="4"/>
  <c r="L507" i="4"/>
  <c r="E508" i="4" l="1"/>
  <c r="N507" i="4"/>
  <c r="K868" i="4"/>
  <c r="E869" i="4" s="1"/>
  <c r="O868" i="4"/>
  <c r="I868" i="4"/>
  <c r="F868" i="4"/>
  <c r="A868" i="4"/>
  <c r="B868" i="4"/>
  <c r="J868" i="4"/>
  <c r="M868" i="4"/>
  <c r="L868" i="4"/>
  <c r="G868" i="4"/>
  <c r="D868" i="4"/>
  <c r="C868" i="4"/>
  <c r="H868" i="4"/>
  <c r="N868" i="4"/>
  <c r="A869" i="4" l="1"/>
  <c r="O869" i="4"/>
  <c r="B869" i="4"/>
  <c r="C869" i="4"/>
  <c r="D869" i="4"/>
  <c r="G869" i="4"/>
  <c r="I869" i="4"/>
  <c r="M869" i="4"/>
  <c r="N869" i="4"/>
  <c r="H869" i="4"/>
  <c r="F869" i="4"/>
  <c r="J869" i="4"/>
  <c r="L869" i="4"/>
  <c r="K869" i="4"/>
  <c r="E870" i="4" s="1"/>
  <c r="J508" i="4"/>
  <c r="A508" i="4"/>
  <c r="N508" i="4"/>
  <c r="G508" i="4"/>
  <c r="H508" i="4"/>
  <c r="O508" i="4"/>
  <c r="I508" i="4"/>
  <c r="F508" i="4"/>
  <c r="B508" i="4"/>
  <c r="L508" i="4"/>
  <c r="D508" i="4"/>
  <c r="C508" i="4"/>
  <c r="M508" i="4"/>
  <c r="K508" i="4"/>
  <c r="E509" i="4" s="1"/>
  <c r="M870" i="4" l="1"/>
  <c r="H870" i="4"/>
  <c r="K870" i="4"/>
  <c r="E871" i="4" s="1"/>
  <c r="D870" i="4"/>
  <c r="L870" i="4"/>
  <c r="G870" i="4"/>
  <c r="F870" i="4"/>
  <c r="J870" i="4"/>
  <c r="N870" i="4"/>
  <c r="B870" i="4"/>
  <c r="I870" i="4"/>
  <c r="O870" i="4"/>
  <c r="C870" i="4"/>
  <c r="A870" i="4"/>
  <c r="D509" i="4"/>
  <c r="C509" i="4"/>
  <c r="A509" i="4"/>
  <c r="M509" i="4"/>
  <c r="I509" i="4"/>
  <c r="O509" i="4"/>
  <c r="N509" i="4"/>
  <c r="L509" i="4"/>
  <c r="J509" i="4"/>
  <c r="B509" i="4"/>
  <c r="G509" i="4"/>
  <c r="K509" i="4"/>
  <c r="E510" i="4" s="1"/>
  <c r="H509" i="4"/>
  <c r="F509" i="4"/>
  <c r="B510" i="4" l="1"/>
  <c r="I510" i="4"/>
  <c r="H510" i="4"/>
  <c r="O510" i="4"/>
  <c r="L510" i="4"/>
  <c r="J510" i="4"/>
  <c r="A510" i="4"/>
  <c r="K510" i="4"/>
  <c r="E511" i="4" s="1"/>
  <c r="G510" i="4"/>
  <c r="C510" i="4"/>
  <c r="N510" i="4"/>
  <c r="M510" i="4"/>
  <c r="D510" i="4"/>
  <c r="F510" i="4"/>
  <c r="G871" i="4"/>
  <c r="F871" i="4"/>
  <c r="C871" i="4"/>
  <c r="D871" i="4"/>
  <c r="I871" i="4"/>
  <c r="B871" i="4"/>
  <c r="A871" i="4"/>
  <c r="O871" i="4"/>
  <c r="H871" i="4"/>
  <c r="M871" i="4"/>
  <c r="L871" i="4"/>
  <c r="J871" i="4"/>
  <c r="N871" i="4"/>
  <c r="K871" i="4"/>
  <c r="E872" i="4" s="1"/>
  <c r="F872" i="4" l="1"/>
  <c r="B872" i="4"/>
  <c r="I872" i="4"/>
  <c r="O872" i="4"/>
  <c r="C872" i="4"/>
  <c r="H872" i="4"/>
  <c r="N872" i="4"/>
  <c r="G872" i="4"/>
  <c r="M872" i="4"/>
  <c r="L872" i="4"/>
  <c r="A872" i="4"/>
  <c r="J872" i="4"/>
  <c r="D872" i="4"/>
  <c r="K872" i="4"/>
  <c r="E873" i="4" s="1"/>
  <c r="D511" i="4"/>
  <c r="O511" i="4"/>
  <c r="F511" i="4"/>
  <c r="A511" i="4"/>
  <c r="M511" i="4"/>
  <c r="K511" i="4"/>
  <c r="E512" i="4" s="1"/>
  <c r="I511" i="4"/>
  <c r="C511" i="4"/>
  <c r="B511" i="4"/>
  <c r="L511" i="4"/>
  <c r="H511" i="4"/>
  <c r="G511" i="4"/>
  <c r="N511" i="4"/>
  <c r="J511" i="4"/>
  <c r="F512" i="4" l="1"/>
  <c r="C512" i="4"/>
  <c r="B512" i="4"/>
  <c r="A512" i="4"/>
  <c r="K512" i="4"/>
  <c r="E513" i="4" s="1"/>
  <c r="J512" i="4"/>
  <c r="I512" i="4"/>
  <c r="D512" i="4"/>
  <c r="O512" i="4"/>
  <c r="M512" i="4"/>
  <c r="L512" i="4"/>
  <c r="N512" i="4"/>
  <c r="H512" i="4"/>
  <c r="G512" i="4"/>
  <c r="K873" i="4"/>
  <c r="E874" i="4" s="1"/>
  <c r="F873" i="4"/>
  <c r="D873" i="4"/>
  <c r="N873" i="4"/>
  <c r="G873" i="4"/>
  <c r="I873" i="4"/>
  <c r="H873" i="4"/>
  <c r="M873" i="4"/>
  <c r="J873" i="4"/>
  <c r="A873" i="4"/>
  <c r="O873" i="4"/>
  <c r="B873" i="4"/>
  <c r="C873" i="4"/>
  <c r="L873" i="4"/>
  <c r="D513" i="4" l="1"/>
  <c r="J513" i="4"/>
  <c r="C513" i="4"/>
  <c r="F513" i="4"/>
  <c r="A513" i="4"/>
  <c r="K513" i="4"/>
  <c r="E514" i="4" s="1"/>
  <c r="L513" i="4"/>
  <c r="I513" i="4"/>
  <c r="H513" i="4"/>
  <c r="M513" i="4"/>
  <c r="B513" i="4"/>
  <c r="O513" i="4"/>
  <c r="N513" i="4"/>
  <c r="G513" i="4"/>
  <c r="J874" i="4"/>
  <c r="M874" i="4"/>
  <c r="D874" i="4"/>
  <c r="C874" i="4"/>
  <c r="L874" i="4"/>
  <c r="G874" i="4"/>
  <c r="B874" i="4"/>
  <c r="I874" i="4"/>
  <c r="H874" i="4"/>
  <c r="F874" i="4"/>
  <c r="A874" i="4"/>
  <c r="O874" i="4"/>
  <c r="N874" i="4"/>
  <c r="K874" i="4"/>
  <c r="E875" i="4" s="1"/>
  <c r="M514" i="4" l="1"/>
  <c r="C514" i="4"/>
  <c r="B514" i="4"/>
  <c r="I514" i="4"/>
  <c r="H514" i="4"/>
  <c r="G514" i="4"/>
  <c r="L514" i="4"/>
  <c r="K514" i="4"/>
  <c r="E515" i="4" s="1"/>
  <c r="J514" i="4"/>
  <c r="F514" i="4"/>
  <c r="D514" i="4"/>
  <c r="O514" i="4"/>
  <c r="A514" i="4"/>
  <c r="N514" i="4"/>
  <c r="K875" i="4"/>
  <c r="E876" i="4" s="1"/>
  <c r="J875" i="4"/>
  <c r="A875" i="4"/>
  <c r="G875" i="4"/>
  <c r="L875" i="4"/>
  <c r="O875" i="4"/>
  <c r="I875" i="4"/>
  <c r="H875" i="4"/>
  <c r="C875" i="4"/>
  <c r="M875" i="4"/>
  <c r="D875" i="4"/>
  <c r="F875" i="4"/>
  <c r="B875" i="4"/>
  <c r="N875" i="4"/>
  <c r="B515" i="4" l="1"/>
  <c r="K515" i="4"/>
  <c r="E516" i="4" s="1"/>
  <c r="F515" i="4"/>
  <c r="N515" i="4"/>
  <c r="M515" i="4"/>
  <c r="L515" i="4"/>
  <c r="A515" i="4"/>
  <c r="D515" i="4"/>
  <c r="O515" i="4"/>
  <c r="J515" i="4"/>
  <c r="I515" i="4"/>
  <c r="G515" i="4"/>
  <c r="H515" i="4"/>
  <c r="C515" i="4"/>
  <c r="B876" i="4"/>
  <c r="A876" i="4"/>
  <c r="I876" i="4"/>
  <c r="M876" i="4"/>
  <c r="L876" i="4"/>
  <c r="D876" i="4"/>
  <c r="C876" i="4"/>
  <c r="N876" i="4"/>
  <c r="F876" i="4"/>
  <c r="K876" i="4"/>
  <c r="E877" i="4" s="1"/>
  <c r="H876" i="4"/>
  <c r="G876" i="4"/>
  <c r="J876" i="4"/>
  <c r="O876" i="4"/>
  <c r="O877" i="4" l="1"/>
  <c r="L877" i="4"/>
  <c r="H877" i="4"/>
  <c r="K877" i="4"/>
  <c r="E878" i="4" s="1"/>
  <c r="N877" i="4"/>
  <c r="D877" i="4"/>
  <c r="C877" i="4"/>
  <c r="B877" i="4"/>
  <c r="F877" i="4"/>
  <c r="I877" i="4"/>
  <c r="A877" i="4"/>
  <c r="G877" i="4"/>
  <c r="M877" i="4"/>
  <c r="J877" i="4"/>
  <c r="K516" i="4"/>
  <c r="E517" i="4" s="1"/>
  <c r="J516" i="4"/>
  <c r="I516" i="4"/>
  <c r="A516" i="4"/>
  <c r="D516" i="4"/>
  <c r="O516" i="4"/>
  <c r="H516" i="4"/>
  <c r="G516" i="4"/>
  <c r="F516" i="4"/>
  <c r="C516" i="4"/>
  <c r="B516" i="4"/>
  <c r="M516" i="4"/>
  <c r="L516" i="4"/>
  <c r="N516" i="4"/>
  <c r="I517" i="4" l="1"/>
  <c r="H517" i="4"/>
  <c r="F517" i="4"/>
  <c r="O517" i="4"/>
  <c r="M517" i="4"/>
  <c r="N517" i="4"/>
  <c r="K517" i="4"/>
  <c r="E518" i="4" s="1"/>
  <c r="G517" i="4"/>
  <c r="B517" i="4"/>
  <c r="A517" i="4"/>
  <c r="J517" i="4"/>
  <c r="D517" i="4"/>
  <c r="C517" i="4"/>
  <c r="L517" i="4"/>
  <c r="A878" i="4"/>
  <c r="O878" i="4"/>
  <c r="K878" i="4"/>
  <c r="E879" i="4" s="1"/>
  <c r="J878" i="4"/>
  <c r="H878" i="4"/>
  <c r="B878" i="4"/>
  <c r="N878" i="4"/>
  <c r="D878" i="4"/>
  <c r="F878" i="4"/>
  <c r="I878" i="4"/>
  <c r="C878" i="4"/>
  <c r="G878" i="4"/>
  <c r="L878" i="4"/>
  <c r="M878" i="4"/>
  <c r="N518" i="4" l="1"/>
  <c r="M518" i="4"/>
  <c r="L518" i="4"/>
  <c r="J518" i="4"/>
  <c r="I518" i="4"/>
  <c r="A518" i="4"/>
  <c r="K518" i="4"/>
  <c r="E519" i="4" s="1"/>
  <c r="H518" i="4"/>
  <c r="F518" i="4"/>
  <c r="C518" i="4"/>
  <c r="O518" i="4"/>
  <c r="G518" i="4"/>
  <c r="D518" i="4"/>
  <c r="B518" i="4"/>
  <c r="K879" i="4"/>
  <c r="E880" i="4" s="1"/>
  <c r="I879" i="4"/>
  <c r="H879" i="4"/>
  <c r="O879" i="4"/>
  <c r="D879" i="4"/>
  <c r="C879" i="4"/>
  <c r="G879" i="4"/>
  <c r="F879" i="4"/>
  <c r="M879" i="4"/>
  <c r="J879" i="4"/>
  <c r="B879" i="4"/>
  <c r="L879" i="4"/>
  <c r="A879" i="4"/>
  <c r="N879" i="4"/>
  <c r="L519" i="4" l="1"/>
  <c r="H519" i="4"/>
  <c r="K519" i="4"/>
  <c r="E520" i="4" s="1"/>
  <c r="D519" i="4"/>
  <c r="I519" i="4"/>
  <c r="G519" i="4"/>
  <c r="O519" i="4"/>
  <c r="N519" i="4"/>
  <c r="F519" i="4"/>
  <c r="C519" i="4"/>
  <c r="J519" i="4"/>
  <c r="B519" i="4"/>
  <c r="A519" i="4"/>
  <c r="M519" i="4"/>
  <c r="D880" i="4"/>
  <c r="M880" i="4"/>
  <c r="L880" i="4"/>
  <c r="O880" i="4"/>
  <c r="N880" i="4"/>
  <c r="C880" i="4"/>
  <c r="B880" i="4"/>
  <c r="H880" i="4"/>
  <c r="A880" i="4"/>
  <c r="J880" i="4"/>
  <c r="I880" i="4"/>
  <c r="K880" i="4"/>
  <c r="E881" i="4" s="1"/>
  <c r="G880" i="4"/>
  <c r="F880" i="4"/>
  <c r="C520" i="4" l="1"/>
  <c r="D520" i="4"/>
  <c r="B520" i="4"/>
  <c r="O520" i="4"/>
  <c r="N520" i="4"/>
  <c r="K520" i="4"/>
  <c r="E521" i="4" s="1"/>
  <c r="J520" i="4"/>
  <c r="A520" i="4"/>
  <c r="M520" i="4"/>
  <c r="F520" i="4"/>
  <c r="I520" i="4"/>
  <c r="G520" i="4"/>
  <c r="L520" i="4"/>
  <c r="H520" i="4"/>
  <c r="O881" i="4"/>
  <c r="N881" i="4"/>
  <c r="A881" i="4"/>
  <c r="M881" i="4"/>
  <c r="G881" i="4"/>
  <c r="D881" i="4"/>
  <c r="H881" i="4"/>
  <c r="C881" i="4"/>
  <c r="B881" i="4"/>
  <c r="L881" i="4"/>
  <c r="K881" i="4"/>
  <c r="E882" i="4" s="1"/>
  <c r="F881" i="4"/>
  <c r="I881" i="4"/>
  <c r="J881" i="4"/>
  <c r="F882" i="4" l="1"/>
  <c r="M882" i="4"/>
  <c r="L882" i="4"/>
  <c r="G882" i="4"/>
  <c r="J882" i="4"/>
  <c r="A882" i="4"/>
  <c r="N882" i="4"/>
  <c r="O882" i="4"/>
  <c r="K882" i="4"/>
  <c r="E883" i="4" s="1"/>
  <c r="H882" i="4"/>
  <c r="I882" i="4"/>
  <c r="D882" i="4"/>
  <c r="C882" i="4"/>
  <c r="B882" i="4"/>
  <c r="J521" i="4"/>
  <c r="F521" i="4"/>
  <c r="D521" i="4"/>
  <c r="K521" i="4"/>
  <c r="E522" i="4" s="1"/>
  <c r="I521" i="4"/>
  <c r="G521" i="4"/>
  <c r="A521" i="4"/>
  <c r="N521" i="4"/>
  <c r="M521" i="4"/>
  <c r="O521" i="4"/>
  <c r="H521" i="4"/>
  <c r="C521" i="4"/>
  <c r="B521" i="4"/>
  <c r="L521" i="4"/>
  <c r="G883" i="4" l="1"/>
  <c r="J883" i="4"/>
  <c r="I883" i="4"/>
  <c r="H883" i="4"/>
  <c r="K883" i="4"/>
  <c r="E884" i="4" s="1"/>
  <c r="O883" i="4"/>
  <c r="M883" i="4"/>
  <c r="F883" i="4"/>
  <c r="L883" i="4"/>
  <c r="N883" i="4"/>
  <c r="A883" i="4"/>
  <c r="C883" i="4"/>
  <c r="D883" i="4"/>
  <c r="B883" i="4"/>
  <c r="M522" i="4"/>
  <c r="C522" i="4"/>
  <c r="O522" i="4"/>
  <c r="L522" i="4"/>
  <c r="K522" i="4"/>
  <c r="E523" i="4" s="1"/>
  <c r="A522" i="4"/>
  <c r="G522" i="4"/>
  <c r="J522" i="4"/>
  <c r="I522" i="4"/>
  <c r="H522" i="4"/>
  <c r="F522" i="4"/>
  <c r="D522" i="4"/>
  <c r="B522" i="4"/>
  <c r="N522" i="4"/>
  <c r="F523" i="4" l="1"/>
  <c r="O523" i="4"/>
  <c r="A523" i="4"/>
  <c r="L523" i="4"/>
  <c r="H523" i="4"/>
  <c r="D523" i="4"/>
  <c r="B523" i="4"/>
  <c r="N523" i="4"/>
  <c r="M523" i="4"/>
  <c r="C523" i="4"/>
  <c r="G523" i="4"/>
  <c r="I523" i="4"/>
  <c r="J523" i="4"/>
  <c r="K523" i="4"/>
  <c r="E524" i="4" s="1"/>
  <c r="D884" i="4"/>
  <c r="C884" i="4"/>
  <c r="B884" i="4"/>
  <c r="A884" i="4"/>
  <c r="F884" i="4"/>
  <c r="K884" i="4"/>
  <c r="E885" i="4" s="1"/>
  <c r="N884" i="4"/>
  <c r="G884" i="4"/>
  <c r="O884" i="4"/>
  <c r="H884" i="4"/>
  <c r="J884" i="4"/>
  <c r="I884" i="4"/>
  <c r="L884" i="4"/>
  <c r="M884" i="4"/>
  <c r="C524" i="4" l="1"/>
  <c r="B524" i="4"/>
  <c r="O524" i="4"/>
  <c r="M524" i="4"/>
  <c r="G524" i="4"/>
  <c r="A524" i="4"/>
  <c r="L524" i="4"/>
  <c r="D524" i="4"/>
  <c r="K524" i="4"/>
  <c r="E525" i="4" s="1"/>
  <c r="I524" i="4"/>
  <c r="N524" i="4"/>
  <c r="J524" i="4"/>
  <c r="F524" i="4"/>
  <c r="H524" i="4"/>
  <c r="A885" i="4"/>
  <c r="D885" i="4"/>
  <c r="O885" i="4"/>
  <c r="L885" i="4"/>
  <c r="H885" i="4"/>
  <c r="I885" i="4"/>
  <c r="M885" i="4"/>
  <c r="K885" i="4"/>
  <c r="E886" i="4" s="1"/>
  <c r="G885" i="4"/>
  <c r="F885" i="4"/>
  <c r="N885" i="4"/>
  <c r="J885" i="4"/>
  <c r="C885" i="4"/>
  <c r="B885" i="4"/>
  <c r="B525" i="4" l="1"/>
  <c r="K525" i="4"/>
  <c r="E526" i="4" s="1"/>
  <c r="I525" i="4"/>
  <c r="G525" i="4"/>
  <c r="F525" i="4"/>
  <c r="L525" i="4"/>
  <c r="H525" i="4"/>
  <c r="D525" i="4"/>
  <c r="N525" i="4"/>
  <c r="J525" i="4"/>
  <c r="M525" i="4"/>
  <c r="C525" i="4"/>
  <c r="A525" i="4"/>
  <c r="O525" i="4"/>
  <c r="M886" i="4"/>
  <c r="C886" i="4"/>
  <c r="B886" i="4"/>
  <c r="L886" i="4"/>
  <c r="K886" i="4"/>
  <c r="E887" i="4" s="1"/>
  <c r="H886" i="4"/>
  <c r="G886" i="4"/>
  <c r="J886" i="4"/>
  <c r="I886" i="4"/>
  <c r="D886" i="4"/>
  <c r="N886" i="4"/>
  <c r="F886" i="4"/>
  <c r="O886" i="4"/>
  <c r="A886" i="4"/>
  <c r="F526" i="4" l="1"/>
  <c r="A526" i="4"/>
  <c r="I526" i="4"/>
  <c r="C526" i="4"/>
  <c r="D526" i="4"/>
  <c r="O526" i="4"/>
  <c r="B526" i="4"/>
  <c r="L526" i="4"/>
  <c r="J526" i="4"/>
  <c r="H526" i="4"/>
  <c r="N526" i="4"/>
  <c r="M526" i="4"/>
  <c r="K526" i="4"/>
  <c r="E527" i="4" s="1"/>
  <c r="G526" i="4"/>
  <c r="N887" i="4"/>
  <c r="C887" i="4"/>
  <c r="G887" i="4"/>
  <c r="D887" i="4"/>
  <c r="I887" i="4"/>
  <c r="A887" i="4"/>
  <c r="H887" i="4"/>
  <c r="M887" i="4"/>
  <c r="B887" i="4"/>
  <c r="O887" i="4"/>
  <c r="J887" i="4"/>
  <c r="L887" i="4"/>
  <c r="K887" i="4"/>
  <c r="E888" i="4" s="1"/>
  <c r="F887" i="4"/>
  <c r="B888" i="4" l="1"/>
  <c r="J888" i="4"/>
  <c r="I888" i="4"/>
  <c r="D888" i="4"/>
  <c r="O888" i="4"/>
  <c r="A888" i="4"/>
  <c r="C888" i="4"/>
  <c r="N888" i="4"/>
  <c r="M888" i="4"/>
  <c r="L888" i="4"/>
  <c r="H888" i="4"/>
  <c r="K888" i="4"/>
  <c r="E889" i="4" s="1"/>
  <c r="F888" i="4"/>
  <c r="G888" i="4"/>
  <c r="F527" i="4"/>
  <c r="B527" i="4"/>
  <c r="O527" i="4"/>
  <c r="N527" i="4"/>
  <c r="C527" i="4"/>
  <c r="M527" i="4"/>
  <c r="L527" i="4"/>
  <c r="K527" i="4"/>
  <c r="E528" i="4" s="1"/>
  <c r="D527" i="4"/>
  <c r="A527" i="4"/>
  <c r="I527" i="4"/>
  <c r="J527" i="4"/>
  <c r="H527" i="4"/>
  <c r="G527" i="4"/>
  <c r="D889" i="4" l="1"/>
  <c r="A889" i="4"/>
  <c r="I889" i="4"/>
  <c r="B889" i="4"/>
  <c r="H889" i="4"/>
  <c r="C889" i="4"/>
  <c r="N889" i="4"/>
  <c r="O889" i="4"/>
  <c r="L889" i="4"/>
  <c r="F889" i="4"/>
  <c r="G889" i="4"/>
  <c r="K889" i="4"/>
  <c r="E890" i="4" s="1"/>
  <c r="J889" i="4"/>
  <c r="M889" i="4"/>
  <c r="N528" i="4"/>
  <c r="C528" i="4"/>
  <c r="M528" i="4"/>
  <c r="B528" i="4"/>
  <c r="G528" i="4"/>
  <c r="F528" i="4"/>
  <c r="D528" i="4"/>
  <c r="L528" i="4"/>
  <c r="J528" i="4"/>
  <c r="I528" i="4"/>
  <c r="K528" i="4"/>
  <c r="E529" i="4" s="1"/>
  <c r="H528" i="4"/>
  <c r="O528" i="4"/>
  <c r="A528" i="4"/>
  <c r="F890" i="4" l="1"/>
  <c r="C890" i="4"/>
  <c r="M890" i="4"/>
  <c r="D890" i="4"/>
  <c r="I890" i="4"/>
  <c r="O890" i="4"/>
  <c r="L890" i="4"/>
  <c r="N890" i="4"/>
  <c r="J890" i="4"/>
  <c r="B890" i="4"/>
  <c r="A890" i="4"/>
  <c r="K890" i="4"/>
  <c r="E891" i="4" s="1"/>
  <c r="G890" i="4"/>
  <c r="H890" i="4"/>
  <c r="B529" i="4"/>
  <c r="I529" i="4"/>
  <c r="H529" i="4"/>
  <c r="A529" i="4"/>
  <c r="J529" i="4"/>
  <c r="G529" i="4"/>
  <c r="F529" i="4"/>
  <c r="D529" i="4"/>
  <c r="N529" i="4"/>
  <c r="L529" i="4"/>
  <c r="K529" i="4"/>
  <c r="E530" i="4" s="1"/>
  <c r="C529" i="4"/>
  <c r="O529" i="4"/>
  <c r="M529" i="4"/>
  <c r="F891" i="4" l="1"/>
  <c r="A891" i="4"/>
  <c r="B891" i="4"/>
  <c r="J891" i="4"/>
  <c r="L891" i="4"/>
  <c r="O891" i="4"/>
  <c r="D891" i="4"/>
  <c r="C891" i="4"/>
  <c r="N891" i="4"/>
  <c r="I891" i="4"/>
  <c r="H891" i="4"/>
  <c r="M891" i="4"/>
  <c r="K891" i="4"/>
  <c r="E892" i="4" s="1"/>
  <c r="G891" i="4"/>
  <c r="L530" i="4"/>
  <c r="A530" i="4"/>
  <c r="H530" i="4"/>
  <c r="G530" i="4"/>
  <c r="D530" i="4"/>
  <c r="C530" i="4"/>
  <c r="B530" i="4"/>
  <c r="J530" i="4"/>
  <c r="I530" i="4"/>
  <c r="M530" i="4"/>
  <c r="N530" i="4"/>
  <c r="F530" i="4"/>
  <c r="K530" i="4"/>
  <c r="E531" i="4" s="1"/>
  <c r="O530" i="4"/>
  <c r="B892" i="4" l="1"/>
  <c r="A892" i="4"/>
  <c r="N892" i="4"/>
  <c r="K892" i="4"/>
  <c r="E893" i="4" s="1"/>
  <c r="D892" i="4"/>
  <c r="J892" i="4"/>
  <c r="I892" i="4"/>
  <c r="M892" i="4"/>
  <c r="F892" i="4"/>
  <c r="C892" i="4"/>
  <c r="L892" i="4"/>
  <c r="O892" i="4"/>
  <c r="H892" i="4"/>
  <c r="G892" i="4"/>
  <c r="B531" i="4"/>
  <c r="M531" i="4"/>
  <c r="O531" i="4"/>
  <c r="A531" i="4"/>
  <c r="J531" i="4"/>
  <c r="D531" i="4"/>
  <c r="L531" i="4"/>
  <c r="N531" i="4"/>
  <c r="K531" i="4"/>
  <c r="E532" i="4" s="1"/>
  <c r="I531" i="4"/>
  <c r="H531" i="4"/>
  <c r="G531" i="4"/>
  <c r="F531" i="4"/>
  <c r="C531" i="4"/>
  <c r="N532" i="4" l="1"/>
  <c r="G532" i="4"/>
  <c r="D532" i="4"/>
  <c r="C532" i="4"/>
  <c r="K532" i="4"/>
  <c r="E533" i="4" s="1"/>
  <c r="H532" i="4"/>
  <c r="M532" i="4"/>
  <c r="J532" i="4"/>
  <c r="I532" i="4"/>
  <c r="B532" i="4"/>
  <c r="L532" i="4"/>
  <c r="F532" i="4"/>
  <c r="O532" i="4"/>
  <c r="A532" i="4"/>
  <c r="G893" i="4"/>
  <c r="A893" i="4"/>
  <c r="L893" i="4"/>
  <c r="H893" i="4"/>
  <c r="F893" i="4"/>
  <c r="J893" i="4"/>
  <c r="I893" i="4"/>
  <c r="K893" i="4"/>
  <c r="E894" i="4" s="1"/>
  <c r="D893" i="4"/>
  <c r="M893" i="4"/>
  <c r="O893" i="4"/>
  <c r="C893" i="4"/>
  <c r="B893" i="4"/>
  <c r="N893" i="4"/>
  <c r="C894" i="4" l="1"/>
  <c r="F894" i="4"/>
  <c r="D894" i="4"/>
  <c r="O894" i="4"/>
  <c r="L894" i="4"/>
  <c r="N894" i="4"/>
  <c r="I894" i="4"/>
  <c r="H894" i="4"/>
  <c r="M894" i="4"/>
  <c r="J894" i="4"/>
  <c r="A894" i="4"/>
  <c r="K894" i="4"/>
  <c r="E895" i="4" s="1"/>
  <c r="B894" i="4"/>
  <c r="G894" i="4"/>
  <c r="F533" i="4"/>
  <c r="D533" i="4"/>
  <c r="C533" i="4"/>
  <c r="N533" i="4"/>
  <c r="M533" i="4"/>
  <c r="K533" i="4"/>
  <c r="E534" i="4" s="1"/>
  <c r="B533" i="4"/>
  <c r="O533" i="4"/>
  <c r="A533" i="4"/>
  <c r="J533" i="4"/>
  <c r="G533" i="4"/>
  <c r="I533" i="4"/>
  <c r="H533" i="4"/>
  <c r="L533" i="4"/>
  <c r="L895" i="4" l="1"/>
  <c r="B895" i="4"/>
  <c r="H895" i="4"/>
  <c r="I895" i="4"/>
  <c r="K895" i="4"/>
  <c r="E896" i="4" s="1"/>
  <c r="G895" i="4"/>
  <c r="F895" i="4"/>
  <c r="A895" i="4"/>
  <c r="D895" i="4"/>
  <c r="C895" i="4"/>
  <c r="M895" i="4"/>
  <c r="J895" i="4"/>
  <c r="N895" i="4"/>
  <c r="O895" i="4"/>
  <c r="K534" i="4"/>
  <c r="E535" i="4" s="1"/>
  <c r="D534" i="4"/>
  <c r="B534" i="4"/>
  <c r="N534" i="4"/>
  <c r="H534" i="4"/>
  <c r="F534" i="4"/>
  <c r="C534" i="4"/>
  <c r="A534" i="4"/>
  <c r="M534" i="4"/>
  <c r="G534" i="4"/>
  <c r="J534" i="4"/>
  <c r="O534" i="4"/>
  <c r="I534" i="4"/>
  <c r="L534" i="4"/>
  <c r="M896" i="4" l="1"/>
  <c r="L896" i="4"/>
  <c r="I896" i="4"/>
  <c r="J896" i="4"/>
  <c r="F896" i="4"/>
  <c r="O896" i="4"/>
  <c r="G896" i="4"/>
  <c r="K896" i="4"/>
  <c r="E897" i="4" s="1"/>
  <c r="D896" i="4"/>
  <c r="A896" i="4"/>
  <c r="H896" i="4"/>
  <c r="B896" i="4"/>
  <c r="N896" i="4"/>
  <c r="C896" i="4"/>
  <c r="O535" i="4"/>
  <c r="N535" i="4"/>
  <c r="M535" i="4"/>
  <c r="K535" i="4"/>
  <c r="E536" i="4" s="1"/>
  <c r="I535" i="4"/>
  <c r="D535" i="4"/>
  <c r="A535" i="4"/>
  <c r="L535" i="4"/>
  <c r="J535" i="4"/>
  <c r="G535" i="4"/>
  <c r="F535" i="4"/>
  <c r="H535" i="4"/>
  <c r="C535" i="4"/>
  <c r="B535" i="4"/>
  <c r="L897" i="4" l="1"/>
  <c r="F897" i="4"/>
  <c r="J897" i="4"/>
  <c r="H897" i="4"/>
  <c r="G897" i="4"/>
  <c r="K897" i="4"/>
  <c r="E898" i="4" s="1"/>
  <c r="I897" i="4"/>
  <c r="D897" i="4"/>
  <c r="B897" i="4"/>
  <c r="O897" i="4"/>
  <c r="C897" i="4"/>
  <c r="N897" i="4"/>
  <c r="M897" i="4"/>
  <c r="A897" i="4"/>
  <c r="M536" i="4"/>
  <c r="I536" i="4"/>
  <c r="J536" i="4"/>
  <c r="G536" i="4"/>
  <c r="L536" i="4"/>
  <c r="K536" i="4"/>
  <c r="E537" i="4" s="1"/>
  <c r="F536" i="4"/>
  <c r="A536" i="4"/>
  <c r="O536" i="4"/>
  <c r="H536" i="4"/>
  <c r="D536" i="4"/>
  <c r="C536" i="4"/>
  <c r="B536" i="4"/>
  <c r="N536" i="4"/>
  <c r="I898" i="4" l="1"/>
  <c r="H898" i="4"/>
  <c r="G898" i="4"/>
  <c r="D898" i="4"/>
  <c r="A898" i="4"/>
  <c r="C898" i="4"/>
  <c r="B898" i="4"/>
  <c r="F898" i="4"/>
  <c r="L898" i="4"/>
  <c r="O898" i="4"/>
  <c r="N898" i="4"/>
  <c r="K898" i="4"/>
  <c r="E899" i="4" s="1"/>
  <c r="J898" i="4"/>
  <c r="M898" i="4"/>
  <c r="G537" i="4"/>
  <c r="D537" i="4"/>
  <c r="C537" i="4"/>
  <c r="B537" i="4"/>
  <c r="O537" i="4"/>
  <c r="K537" i="4"/>
  <c r="E538" i="4" s="1"/>
  <c r="F537" i="4"/>
  <c r="N537" i="4"/>
  <c r="M537" i="4"/>
  <c r="J537" i="4"/>
  <c r="L537" i="4"/>
  <c r="I537" i="4"/>
  <c r="A537" i="4"/>
  <c r="H537" i="4"/>
  <c r="C899" i="4" l="1"/>
  <c r="B899" i="4"/>
  <c r="A899" i="4"/>
  <c r="J899" i="4"/>
  <c r="O899" i="4"/>
  <c r="N899" i="4"/>
  <c r="M899" i="4"/>
  <c r="L899" i="4"/>
  <c r="I899" i="4"/>
  <c r="F899" i="4"/>
  <c r="D899" i="4"/>
  <c r="G899" i="4"/>
  <c r="K899" i="4"/>
  <c r="E900" i="4" s="1"/>
  <c r="H899" i="4"/>
  <c r="I538" i="4"/>
  <c r="G538" i="4"/>
  <c r="L538" i="4"/>
  <c r="M538" i="4"/>
  <c r="F538" i="4"/>
  <c r="A538" i="4"/>
  <c r="N538" i="4"/>
  <c r="H538" i="4"/>
  <c r="D538" i="4"/>
  <c r="B538" i="4"/>
  <c r="O538" i="4"/>
  <c r="J538" i="4"/>
  <c r="K538" i="4"/>
  <c r="E539" i="4" s="1"/>
  <c r="C538" i="4"/>
  <c r="A539" i="4" l="1"/>
  <c r="O539" i="4"/>
  <c r="N539" i="4"/>
  <c r="L539" i="4"/>
  <c r="K539" i="4"/>
  <c r="E540" i="4" s="1"/>
  <c r="J539" i="4"/>
  <c r="G539" i="4"/>
  <c r="I539" i="4"/>
  <c r="H539" i="4"/>
  <c r="F539" i="4"/>
  <c r="M539" i="4"/>
  <c r="C539" i="4"/>
  <c r="D539" i="4"/>
  <c r="B539" i="4"/>
  <c r="M900" i="4"/>
  <c r="L900" i="4"/>
  <c r="D900" i="4"/>
  <c r="K900" i="4"/>
  <c r="E901" i="4" s="1"/>
  <c r="B900" i="4"/>
  <c r="N900" i="4"/>
  <c r="J900" i="4"/>
  <c r="O900" i="4"/>
  <c r="H900" i="4"/>
  <c r="F900" i="4"/>
  <c r="C900" i="4"/>
  <c r="A900" i="4"/>
  <c r="G900" i="4"/>
  <c r="I900" i="4"/>
  <c r="J540" i="4" l="1"/>
  <c r="L540" i="4"/>
  <c r="K540" i="4"/>
  <c r="E541" i="4" s="1"/>
  <c r="D540" i="4"/>
  <c r="F540" i="4"/>
  <c r="B540" i="4"/>
  <c r="A540" i="4"/>
  <c r="N540" i="4"/>
  <c r="M540" i="4"/>
  <c r="I540" i="4"/>
  <c r="G540" i="4"/>
  <c r="O540" i="4"/>
  <c r="H540" i="4"/>
  <c r="C540" i="4"/>
  <c r="O901" i="4"/>
  <c r="I901" i="4"/>
  <c r="H901" i="4"/>
  <c r="C901" i="4"/>
  <c r="L901" i="4"/>
  <c r="K901" i="4"/>
  <c r="E902" i="4" s="1"/>
  <c r="J901" i="4"/>
  <c r="B901" i="4"/>
  <c r="G901" i="4"/>
  <c r="F901" i="4"/>
  <c r="A901" i="4"/>
  <c r="N901" i="4"/>
  <c r="M901" i="4"/>
  <c r="D901" i="4"/>
  <c r="I902" i="4" l="1"/>
  <c r="G902" i="4"/>
  <c r="K902" i="4"/>
  <c r="E903" i="4" s="1"/>
  <c r="J902" i="4"/>
  <c r="D902" i="4"/>
  <c r="H902" i="4"/>
  <c r="F902" i="4"/>
  <c r="C902" i="4"/>
  <c r="A902" i="4"/>
  <c r="B902" i="4"/>
  <c r="M902" i="4"/>
  <c r="L902" i="4"/>
  <c r="N902" i="4"/>
  <c r="O902" i="4"/>
  <c r="H541" i="4"/>
  <c r="K541" i="4"/>
  <c r="E542" i="4" s="1"/>
  <c r="A541" i="4"/>
  <c r="I541" i="4"/>
  <c r="L541" i="4"/>
  <c r="G541" i="4"/>
  <c r="F541" i="4"/>
  <c r="B541" i="4"/>
  <c r="O541" i="4"/>
  <c r="C541" i="4"/>
  <c r="N541" i="4"/>
  <c r="M541" i="4"/>
  <c r="J541" i="4"/>
  <c r="D541" i="4"/>
  <c r="N903" i="4" l="1"/>
  <c r="I903" i="4"/>
  <c r="O903" i="4"/>
  <c r="A903" i="4"/>
  <c r="G903" i="4"/>
  <c r="M903" i="4"/>
  <c r="K903" i="4"/>
  <c r="E904" i="4" s="1"/>
  <c r="L903" i="4"/>
  <c r="C903" i="4"/>
  <c r="F903" i="4"/>
  <c r="D903" i="4"/>
  <c r="H903" i="4"/>
  <c r="B903" i="4"/>
  <c r="J903" i="4"/>
  <c r="B542" i="4"/>
  <c r="F542" i="4"/>
  <c r="O542" i="4"/>
  <c r="N542" i="4"/>
  <c r="J542" i="4"/>
  <c r="H542" i="4"/>
  <c r="D542" i="4"/>
  <c r="C542" i="4"/>
  <c r="A542" i="4"/>
  <c r="M542" i="4"/>
  <c r="L542" i="4"/>
  <c r="K542" i="4"/>
  <c r="E543" i="4" s="1"/>
  <c r="G542" i="4"/>
  <c r="I542" i="4"/>
  <c r="O904" i="4" l="1"/>
  <c r="J904" i="4"/>
  <c r="H904" i="4"/>
  <c r="B904" i="4"/>
  <c r="L904" i="4"/>
  <c r="G904" i="4"/>
  <c r="M904" i="4"/>
  <c r="F904" i="4"/>
  <c r="C904" i="4"/>
  <c r="D904" i="4"/>
  <c r="N904" i="4"/>
  <c r="K904" i="4"/>
  <c r="E905" i="4" s="1"/>
  <c r="I904" i="4"/>
  <c r="A904" i="4"/>
  <c r="H543" i="4"/>
  <c r="J543" i="4"/>
  <c r="K543" i="4"/>
  <c r="E544" i="4" s="1"/>
  <c r="G543" i="4"/>
  <c r="D543" i="4"/>
  <c r="C543" i="4"/>
  <c r="N543" i="4"/>
  <c r="I543" i="4"/>
  <c r="L543" i="4"/>
  <c r="A543" i="4"/>
  <c r="F543" i="4"/>
  <c r="O543" i="4"/>
  <c r="M543" i="4"/>
  <c r="B543" i="4"/>
  <c r="H905" i="4" l="1"/>
  <c r="M905" i="4"/>
  <c r="J905" i="4"/>
  <c r="N905" i="4"/>
  <c r="A905" i="4"/>
  <c r="K905" i="4"/>
  <c r="E906" i="4" s="1"/>
  <c r="L905" i="4"/>
  <c r="D905" i="4"/>
  <c r="C905" i="4"/>
  <c r="B905" i="4"/>
  <c r="I905" i="4"/>
  <c r="G905" i="4"/>
  <c r="F905" i="4"/>
  <c r="O905" i="4"/>
  <c r="A544" i="4"/>
  <c r="O544" i="4"/>
  <c r="G544" i="4"/>
  <c r="K544" i="4"/>
  <c r="E545" i="4" s="1"/>
  <c r="D544" i="4"/>
  <c r="J544" i="4"/>
  <c r="L544" i="4"/>
  <c r="I544" i="4"/>
  <c r="M544" i="4"/>
  <c r="H544" i="4"/>
  <c r="C544" i="4"/>
  <c r="N544" i="4"/>
  <c r="F544" i="4"/>
  <c r="B544" i="4"/>
  <c r="G906" i="4" l="1"/>
  <c r="F906" i="4"/>
  <c r="D906" i="4"/>
  <c r="L906" i="4"/>
  <c r="M906" i="4"/>
  <c r="A906" i="4"/>
  <c r="C906" i="4"/>
  <c r="I906" i="4"/>
  <c r="B906" i="4"/>
  <c r="K906" i="4"/>
  <c r="E907" i="4" s="1"/>
  <c r="J906" i="4"/>
  <c r="O906" i="4"/>
  <c r="N906" i="4"/>
  <c r="H906" i="4"/>
  <c r="L545" i="4"/>
  <c r="K545" i="4"/>
  <c r="E546" i="4" s="1"/>
  <c r="I545" i="4"/>
  <c r="H545" i="4"/>
  <c r="B545" i="4"/>
  <c r="N545" i="4"/>
  <c r="C545" i="4"/>
  <c r="J545" i="4"/>
  <c r="M545" i="4"/>
  <c r="F545" i="4"/>
  <c r="O545" i="4"/>
  <c r="G545" i="4"/>
  <c r="D545" i="4"/>
  <c r="A545" i="4"/>
  <c r="F907" i="4" l="1"/>
  <c r="I907" i="4"/>
  <c r="B907" i="4"/>
  <c r="C907" i="4"/>
  <c r="H907" i="4"/>
  <c r="G907" i="4"/>
  <c r="L907" i="4"/>
  <c r="J907" i="4"/>
  <c r="K907" i="4"/>
  <c r="E908" i="4" s="1"/>
  <c r="N907" i="4"/>
  <c r="D907" i="4"/>
  <c r="A907" i="4"/>
  <c r="O907" i="4"/>
  <c r="M907" i="4"/>
  <c r="G546" i="4"/>
  <c r="K546" i="4"/>
  <c r="E547" i="4" s="1"/>
  <c r="L546" i="4"/>
  <c r="F546" i="4"/>
  <c r="J546" i="4"/>
  <c r="B546" i="4"/>
  <c r="O546" i="4"/>
  <c r="N546" i="4"/>
  <c r="A546" i="4"/>
  <c r="D546" i="4"/>
  <c r="C546" i="4"/>
  <c r="M546" i="4"/>
  <c r="I546" i="4"/>
  <c r="H546" i="4"/>
  <c r="H908" i="4" l="1"/>
  <c r="G908" i="4"/>
  <c r="F908" i="4"/>
  <c r="A908" i="4"/>
  <c r="M908" i="4"/>
  <c r="O908" i="4"/>
  <c r="N908" i="4"/>
  <c r="J908" i="4"/>
  <c r="L908" i="4"/>
  <c r="C908" i="4"/>
  <c r="B908" i="4"/>
  <c r="K908" i="4"/>
  <c r="E909" i="4" s="1"/>
  <c r="D908" i="4"/>
  <c r="I908" i="4"/>
  <c r="L547" i="4"/>
  <c r="F547" i="4"/>
  <c r="H547" i="4"/>
  <c r="D547" i="4"/>
  <c r="A547" i="4"/>
  <c r="O547" i="4"/>
  <c r="K547" i="4"/>
  <c r="E548" i="4" s="1"/>
  <c r="C547" i="4"/>
  <c r="B547" i="4"/>
  <c r="J547" i="4"/>
  <c r="M547" i="4"/>
  <c r="I547" i="4"/>
  <c r="G547" i="4"/>
  <c r="N547" i="4"/>
  <c r="M548" i="4" l="1"/>
  <c r="L548" i="4"/>
  <c r="I548" i="4"/>
  <c r="F548" i="4"/>
  <c r="O548" i="4"/>
  <c r="J548" i="4"/>
  <c r="D548" i="4"/>
  <c r="N548" i="4"/>
  <c r="K548" i="4"/>
  <c r="E549" i="4" s="1"/>
  <c r="H548" i="4"/>
  <c r="G548" i="4"/>
  <c r="C548" i="4"/>
  <c r="B548" i="4"/>
  <c r="A548" i="4"/>
  <c r="O909" i="4"/>
  <c r="M909" i="4"/>
  <c r="G909" i="4"/>
  <c r="F909" i="4"/>
  <c r="C909" i="4"/>
  <c r="B909" i="4"/>
  <c r="N909" i="4"/>
  <c r="I909" i="4"/>
  <c r="L909" i="4"/>
  <c r="K909" i="4"/>
  <c r="E910" i="4" s="1"/>
  <c r="D909" i="4"/>
  <c r="J909" i="4"/>
  <c r="H909" i="4"/>
  <c r="A909" i="4"/>
  <c r="K549" i="4" l="1"/>
  <c r="E550" i="4" s="1"/>
  <c r="J549" i="4"/>
  <c r="M549" i="4"/>
  <c r="H549" i="4"/>
  <c r="N549" i="4"/>
  <c r="L549" i="4"/>
  <c r="G549" i="4"/>
  <c r="D549" i="4"/>
  <c r="I549" i="4"/>
  <c r="F549" i="4"/>
  <c r="B549" i="4"/>
  <c r="A549" i="4"/>
  <c r="C549" i="4"/>
  <c r="O549" i="4"/>
  <c r="B910" i="4"/>
  <c r="A910" i="4"/>
  <c r="I910" i="4"/>
  <c r="D910" i="4"/>
  <c r="N910" i="4"/>
  <c r="H910" i="4"/>
  <c r="L910" i="4"/>
  <c r="K910" i="4"/>
  <c r="E911" i="4" s="1"/>
  <c r="C910" i="4"/>
  <c r="M910" i="4"/>
  <c r="G910" i="4"/>
  <c r="F910" i="4"/>
  <c r="O910" i="4"/>
  <c r="J910" i="4"/>
  <c r="N911" i="4" l="1"/>
  <c r="F911" i="4"/>
  <c r="D911" i="4"/>
  <c r="G911" i="4"/>
  <c r="K911" i="4"/>
  <c r="E912" i="4" s="1"/>
  <c r="C911" i="4"/>
  <c r="I911" i="4"/>
  <c r="L911" i="4"/>
  <c r="J911" i="4"/>
  <c r="B911" i="4"/>
  <c r="A911" i="4"/>
  <c r="M911" i="4"/>
  <c r="O911" i="4"/>
  <c r="H911" i="4"/>
  <c r="L550" i="4"/>
  <c r="J550" i="4"/>
  <c r="G550" i="4"/>
  <c r="D550" i="4"/>
  <c r="A550" i="4"/>
  <c r="H550" i="4"/>
  <c r="F550" i="4"/>
  <c r="C550" i="4"/>
  <c r="O550" i="4"/>
  <c r="K550" i="4"/>
  <c r="E551" i="4" s="1"/>
  <c r="B550" i="4"/>
  <c r="N550" i="4"/>
  <c r="M550" i="4"/>
  <c r="I550" i="4"/>
  <c r="I551" i="4" l="1"/>
  <c r="H551" i="4"/>
  <c r="G551" i="4"/>
  <c r="K551" i="4"/>
  <c r="E552" i="4" s="1"/>
  <c r="F551" i="4"/>
  <c r="D551" i="4"/>
  <c r="C551" i="4"/>
  <c r="B551" i="4"/>
  <c r="A551" i="4"/>
  <c r="O551" i="4"/>
  <c r="N551" i="4"/>
  <c r="J551" i="4"/>
  <c r="M551" i="4"/>
  <c r="L551" i="4"/>
  <c r="B912" i="4"/>
  <c r="J912" i="4"/>
  <c r="A912" i="4"/>
  <c r="O912" i="4"/>
  <c r="I912" i="4"/>
  <c r="G912" i="4"/>
  <c r="K912" i="4"/>
  <c r="E913" i="4" s="1"/>
  <c r="C912" i="4"/>
  <c r="L912" i="4"/>
  <c r="M912" i="4"/>
  <c r="D912" i="4"/>
  <c r="N912" i="4"/>
  <c r="H912" i="4"/>
  <c r="F912" i="4"/>
  <c r="F913" i="4" l="1"/>
  <c r="D913" i="4"/>
  <c r="A913" i="4"/>
  <c r="L913" i="4"/>
  <c r="J913" i="4"/>
  <c r="N913" i="4"/>
  <c r="I913" i="4"/>
  <c r="G913" i="4"/>
  <c r="K913" i="4"/>
  <c r="E914" i="4" s="1"/>
  <c r="O913" i="4"/>
  <c r="M913" i="4"/>
  <c r="H913" i="4"/>
  <c r="C913" i="4"/>
  <c r="B913" i="4"/>
  <c r="A552" i="4"/>
  <c r="O552" i="4"/>
  <c r="L552" i="4"/>
  <c r="H552" i="4"/>
  <c r="M552" i="4"/>
  <c r="C552" i="4"/>
  <c r="N552" i="4"/>
  <c r="J552" i="4"/>
  <c r="G552" i="4"/>
  <c r="D552" i="4"/>
  <c r="K552" i="4"/>
  <c r="E553" i="4" s="1"/>
  <c r="I552" i="4"/>
  <c r="F552" i="4"/>
  <c r="B552" i="4"/>
  <c r="O914" i="4" l="1"/>
  <c r="M914" i="4"/>
  <c r="F914" i="4"/>
  <c r="A914" i="4"/>
  <c r="N914" i="4"/>
  <c r="L914" i="4"/>
  <c r="C914" i="4"/>
  <c r="I914" i="4"/>
  <c r="J914" i="4"/>
  <c r="G914" i="4"/>
  <c r="D914" i="4"/>
  <c r="H914" i="4"/>
  <c r="K914" i="4"/>
  <c r="E915" i="4" s="1"/>
  <c r="B914" i="4"/>
  <c r="L553" i="4"/>
  <c r="J553" i="4"/>
  <c r="H553" i="4"/>
  <c r="G553" i="4"/>
  <c r="F553" i="4"/>
  <c r="B553" i="4"/>
  <c r="A553" i="4"/>
  <c r="O553" i="4"/>
  <c r="N553" i="4"/>
  <c r="M553" i="4"/>
  <c r="I553" i="4"/>
  <c r="D553" i="4"/>
  <c r="C553" i="4"/>
  <c r="K553" i="4"/>
  <c r="E554" i="4" s="1"/>
  <c r="F915" i="4" l="1"/>
  <c r="A915" i="4"/>
  <c r="O915" i="4"/>
  <c r="D915" i="4"/>
  <c r="B915" i="4"/>
  <c r="N915" i="4"/>
  <c r="I915" i="4"/>
  <c r="H915" i="4"/>
  <c r="C915" i="4"/>
  <c r="L915" i="4"/>
  <c r="K915" i="4"/>
  <c r="E916" i="4" s="1"/>
  <c r="J915" i="4"/>
  <c r="G915" i="4"/>
  <c r="M915" i="4"/>
  <c r="I554" i="4"/>
  <c r="N554" i="4"/>
  <c r="M554" i="4"/>
  <c r="J554" i="4"/>
  <c r="H554" i="4"/>
  <c r="D554" i="4"/>
  <c r="L554" i="4"/>
  <c r="C554" i="4"/>
  <c r="B554" i="4"/>
  <c r="A554" i="4"/>
  <c r="G554" i="4"/>
  <c r="F554" i="4"/>
  <c r="O554" i="4"/>
  <c r="K554" i="4"/>
  <c r="E555" i="4" s="1"/>
  <c r="I555" i="4" l="1"/>
  <c r="L555" i="4"/>
  <c r="H555" i="4"/>
  <c r="G555" i="4"/>
  <c r="F555" i="4"/>
  <c r="D555" i="4"/>
  <c r="A555" i="4"/>
  <c r="O555" i="4"/>
  <c r="J555" i="4"/>
  <c r="M555" i="4"/>
  <c r="C555" i="4"/>
  <c r="B555" i="4"/>
  <c r="N555" i="4"/>
  <c r="K555" i="4"/>
  <c r="E556" i="4" s="1"/>
  <c r="N916" i="4"/>
  <c r="A916" i="4"/>
  <c r="H916" i="4"/>
  <c r="G916" i="4"/>
  <c r="F916" i="4"/>
  <c r="C916" i="4"/>
  <c r="M916" i="4"/>
  <c r="D916" i="4"/>
  <c r="I916" i="4"/>
  <c r="B916" i="4"/>
  <c r="L916" i="4"/>
  <c r="J916" i="4"/>
  <c r="K916" i="4"/>
  <c r="E917" i="4" s="1"/>
  <c r="O916" i="4"/>
  <c r="O556" i="4" l="1"/>
  <c r="K556" i="4"/>
  <c r="E557" i="4" s="1"/>
  <c r="N556" i="4"/>
  <c r="M556" i="4"/>
  <c r="H556" i="4"/>
  <c r="C556" i="4"/>
  <c r="I556" i="4"/>
  <c r="G556" i="4"/>
  <c r="F556" i="4"/>
  <c r="D556" i="4"/>
  <c r="L556" i="4"/>
  <c r="J556" i="4"/>
  <c r="B556" i="4"/>
  <c r="A556" i="4"/>
  <c r="H917" i="4"/>
  <c r="G917" i="4"/>
  <c r="O917" i="4"/>
  <c r="J917" i="4"/>
  <c r="I917" i="4"/>
  <c r="F917" i="4"/>
  <c r="N917" i="4"/>
  <c r="A917" i="4"/>
  <c r="L917" i="4"/>
  <c r="D917" i="4"/>
  <c r="K917" i="4"/>
  <c r="E918" i="4" s="1"/>
  <c r="M917" i="4"/>
  <c r="C917" i="4"/>
  <c r="B917" i="4"/>
  <c r="F918" i="4" l="1"/>
  <c r="C918" i="4"/>
  <c r="L918" i="4"/>
  <c r="J918" i="4"/>
  <c r="G918" i="4"/>
  <c r="A918" i="4"/>
  <c r="D918" i="4"/>
  <c r="N918" i="4"/>
  <c r="I918" i="4"/>
  <c r="B918" i="4"/>
  <c r="K918" i="4"/>
  <c r="E919" i="4" s="1"/>
  <c r="O918" i="4"/>
  <c r="M918" i="4"/>
  <c r="H918" i="4"/>
  <c r="B557" i="4"/>
  <c r="N557" i="4"/>
  <c r="H557" i="4"/>
  <c r="M557" i="4"/>
  <c r="A557" i="4"/>
  <c r="C557" i="4"/>
  <c r="K557" i="4"/>
  <c r="E558" i="4" s="1"/>
  <c r="L557" i="4"/>
  <c r="J557" i="4"/>
  <c r="F557" i="4"/>
  <c r="D557" i="4"/>
  <c r="I557" i="4"/>
  <c r="O557" i="4"/>
  <c r="G557" i="4"/>
  <c r="I919" i="4" l="1"/>
  <c r="H919" i="4"/>
  <c r="D919" i="4"/>
  <c r="K919" i="4"/>
  <c r="E920" i="4" s="1"/>
  <c r="F919" i="4"/>
  <c r="N919" i="4"/>
  <c r="M919" i="4"/>
  <c r="G919" i="4"/>
  <c r="C919" i="4"/>
  <c r="L919" i="4"/>
  <c r="J919" i="4"/>
  <c r="B919" i="4"/>
  <c r="A919" i="4"/>
  <c r="O919" i="4"/>
  <c r="H558" i="4"/>
  <c r="F558" i="4"/>
  <c r="C558" i="4"/>
  <c r="L558" i="4"/>
  <c r="J558" i="4"/>
  <c r="N558" i="4"/>
  <c r="G558" i="4"/>
  <c r="I558" i="4"/>
  <c r="M558" i="4"/>
  <c r="D558" i="4"/>
  <c r="B558" i="4"/>
  <c r="A558" i="4"/>
  <c r="K558" i="4"/>
  <c r="E559" i="4" s="1"/>
  <c r="O558" i="4"/>
  <c r="I559" i="4" l="1"/>
  <c r="H559" i="4"/>
  <c r="M559" i="4"/>
  <c r="C559" i="4"/>
  <c r="O559" i="4"/>
  <c r="L559" i="4"/>
  <c r="G559" i="4"/>
  <c r="D559" i="4"/>
  <c r="K559" i="4"/>
  <c r="E560" i="4" s="1"/>
  <c r="F559" i="4"/>
  <c r="B559" i="4"/>
  <c r="N559" i="4"/>
  <c r="A559" i="4"/>
  <c r="J559" i="4"/>
  <c r="G920" i="4"/>
  <c r="C920" i="4"/>
  <c r="A920" i="4"/>
  <c r="F920" i="4"/>
  <c r="O920" i="4"/>
  <c r="M920" i="4"/>
  <c r="K920" i="4"/>
  <c r="E921" i="4" s="1"/>
  <c r="D920" i="4"/>
  <c r="B920" i="4"/>
  <c r="N920" i="4"/>
  <c r="I920" i="4"/>
  <c r="L920" i="4"/>
  <c r="J920" i="4"/>
  <c r="H920" i="4"/>
  <c r="K560" i="4" l="1"/>
  <c r="E561" i="4" s="1"/>
  <c r="J560" i="4"/>
  <c r="I560" i="4"/>
  <c r="G560" i="4"/>
  <c r="F560" i="4"/>
  <c r="D560" i="4"/>
  <c r="C560" i="4"/>
  <c r="N560" i="4"/>
  <c r="M560" i="4"/>
  <c r="O560" i="4"/>
  <c r="H560" i="4"/>
  <c r="L560" i="4"/>
  <c r="B560" i="4"/>
  <c r="A560" i="4"/>
  <c r="A921" i="4"/>
  <c r="C921" i="4"/>
  <c r="F921" i="4"/>
  <c r="K921" i="4"/>
  <c r="E922" i="4" s="1"/>
  <c r="L921" i="4"/>
  <c r="J921" i="4"/>
  <c r="H921" i="4"/>
  <c r="I921" i="4"/>
  <c r="B921" i="4"/>
  <c r="M921" i="4"/>
  <c r="O921" i="4"/>
  <c r="G921" i="4"/>
  <c r="D921" i="4"/>
  <c r="N921" i="4"/>
  <c r="K922" i="4" l="1"/>
  <c r="E923" i="4" s="1"/>
  <c r="H922" i="4"/>
  <c r="F922" i="4"/>
  <c r="J922" i="4"/>
  <c r="M922" i="4"/>
  <c r="G922" i="4"/>
  <c r="B922" i="4"/>
  <c r="A922" i="4"/>
  <c r="I922" i="4"/>
  <c r="D922" i="4"/>
  <c r="N922" i="4"/>
  <c r="L922" i="4"/>
  <c r="O922" i="4"/>
  <c r="C922" i="4"/>
  <c r="O561" i="4"/>
  <c r="L561" i="4"/>
  <c r="H561" i="4"/>
  <c r="J561" i="4"/>
  <c r="I561" i="4"/>
  <c r="N561" i="4"/>
  <c r="D561" i="4"/>
  <c r="C561" i="4"/>
  <c r="M561" i="4"/>
  <c r="K561" i="4"/>
  <c r="E562" i="4" s="1"/>
  <c r="G561" i="4"/>
  <c r="F561" i="4"/>
  <c r="A561" i="4"/>
  <c r="B561" i="4"/>
  <c r="L562" i="4" l="1"/>
  <c r="K562" i="4"/>
  <c r="E563" i="4" s="1"/>
  <c r="I562" i="4"/>
  <c r="F562" i="4"/>
  <c r="G562" i="4"/>
  <c r="H562" i="4"/>
  <c r="D562" i="4"/>
  <c r="M562" i="4"/>
  <c r="J562" i="4"/>
  <c r="B562" i="4"/>
  <c r="A562" i="4"/>
  <c r="C562" i="4"/>
  <c r="N562" i="4"/>
  <c r="O562" i="4"/>
  <c r="G923" i="4"/>
  <c r="C923" i="4"/>
  <c r="F923" i="4"/>
  <c r="N923" i="4"/>
  <c r="D923" i="4"/>
  <c r="I923" i="4"/>
  <c r="H923" i="4"/>
  <c r="M923" i="4"/>
  <c r="L923" i="4"/>
  <c r="B923" i="4"/>
  <c r="O923" i="4"/>
  <c r="A923" i="4"/>
  <c r="K923" i="4"/>
  <c r="E924" i="4" s="1"/>
  <c r="J923" i="4"/>
  <c r="L924" i="4" l="1"/>
  <c r="H924" i="4"/>
  <c r="N924" i="4"/>
  <c r="D924" i="4"/>
  <c r="A924" i="4"/>
  <c r="M924" i="4"/>
  <c r="K924" i="4"/>
  <c r="E925" i="4" s="1"/>
  <c r="F924" i="4"/>
  <c r="G924" i="4"/>
  <c r="O924" i="4"/>
  <c r="C924" i="4"/>
  <c r="I924" i="4"/>
  <c r="B924" i="4"/>
  <c r="J924" i="4"/>
  <c r="O563" i="4"/>
  <c r="M563" i="4"/>
  <c r="F563" i="4"/>
  <c r="L563" i="4"/>
  <c r="H563" i="4"/>
  <c r="G563" i="4"/>
  <c r="D563" i="4"/>
  <c r="C563" i="4"/>
  <c r="B563" i="4"/>
  <c r="A563" i="4"/>
  <c r="N563" i="4"/>
  <c r="K563" i="4"/>
  <c r="E564" i="4" s="1"/>
  <c r="I563" i="4"/>
  <c r="J563" i="4"/>
  <c r="A564" i="4" l="1"/>
  <c r="M564" i="4"/>
  <c r="N564" i="4"/>
  <c r="F564" i="4"/>
  <c r="L564" i="4"/>
  <c r="I564" i="4"/>
  <c r="D564" i="4"/>
  <c r="H564" i="4"/>
  <c r="K564" i="4"/>
  <c r="E565" i="4" s="1"/>
  <c r="J564" i="4"/>
  <c r="G564" i="4"/>
  <c r="C564" i="4"/>
  <c r="B564" i="4"/>
  <c r="O564" i="4"/>
  <c r="H925" i="4"/>
  <c r="D925" i="4"/>
  <c r="C925" i="4"/>
  <c r="B925" i="4"/>
  <c r="M925" i="4"/>
  <c r="O925" i="4"/>
  <c r="L925" i="4"/>
  <c r="I925" i="4"/>
  <c r="F925" i="4"/>
  <c r="K925" i="4"/>
  <c r="E926" i="4" s="1"/>
  <c r="J925" i="4"/>
  <c r="N925" i="4"/>
  <c r="A925" i="4"/>
  <c r="G925" i="4"/>
  <c r="N565" i="4" l="1"/>
  <c r="M565" i="4"/>
  <c r="B565" i="4"/>
  <c r="A565" i="4"/>
  <c r="L565" i="4"/>
  <c r="F565" i="4"/>
  <c r="K565" i="4"/>
  <c r="E566" i="4" s="1"/>
  <c r="H565" i="4"/>
  <c r="G565" i="4"/>
  <c r="D565" i="4"/>
  <c r="J565" i="4"/>
  <c r="I565" i="4"/>
  <c r="C565" i="4"/>
  <c r="O565" i="4"/>
  <c r="H926" i="4"/>
  <c r="C926" i="4"/>
  <c r="O926" i="4"/>
  <c r="J926" i="4"/>
  <c r="F926" i="4"/>
  <c r="B926" i="4"/>
  <c r="A926" i="4"/>
  <c r="N926" i="4"/>
  <c r="G926" i="4"/>
  <c r="K926" i="4"/>
  <c r="E927" i="4" s="1"/>
  <c r="M926" i="4"/>
  <c r="L926" i="4"/>
  <c r="D926" i="4"/>
  <c r="I926" i="4"/>
  <c r="K927" i="4" l="1"/>
  <c r="E928" i="4" s="1"/>
  <c r="J927" i="4"/>
  <c r="C927" i="4"/>
  <c r="O927" i="4"/>
  <c r="I927" i="4"/>
  <c r="G927" i="4"/>
  <c r="F927" i="4"/>
  <c r="N927" i="4"/>
  <c r="D927" i="4"/>
  <c r="A927" i="4"/>
  <c r="H927" i="4"/>
  <c r="M927" i="4"/>
  <c r="L927" i="4"/>
  <c r="B927" i="4"/>
  <c r="N566" i="4"/>
  <c r="O566" i="4"/>
  <c r="K566" i="4"/>
  <c r="E567" i="4" s="1"/>
  <c r="D566" i="4"/>
  <c r="F566" i="4"/>
  <c r="M566" i="4"/>
  <c r="B566" i="4"/>
  <c r="L566" i="4"/>
  <c r="J566" i="4"/>
  <c r="I566" i="4"/>
  <c r="H566" i="4"/>
  <c r="A566" i="4"/>
  <c r="C566" i="4"/>
  <c r="G566" i="4"/>
  <c r="C567" i="4" l="1"/>
  <c r="F567" i="4"/>
  <c r="B567" i="4"/>
  <c r="I567" i="4"/>
  <c r="H567" i="4"/>
  <c r="G567" i="4"/>
  <c r="O567" i="4"/>
  <c r="M567" i="4"/>
  <c r="L567" i="4"/>
  <c r="A567" i="4"/>
  <c r="D567" i="4"/>
  <c r="N567" i="4"/>
  <c r="K567" i="4"/>
  <c r="E568" i="4" s="1"/>
  <c r="J567" i="4"/>
  <c r="N928" i="4"/>
  <c r="M928" i="4"/>
  <c r="K928" i="4"/>
  <c r="E929" i="4" s="1"/>
  <c r="G928" i="4"/>
  <c r="C928" i="4"/>
  <c r="H928" i="4"/>
  <c r="L928" i="4"/>
  <c r="J928" i="4"/>
  <c r="F928" i="4"/>
  <c r="O928" i="4"/>
  <c r="A928" i="4"/>
  <c r="B928" i="4"/>
  <c r="I928" i="4"/>
  <c r="D928" i="4"/>
  <c r="G568" i="4" l="1"/>
  <c r="H568" i="4"/>
  <c r="B568" i="4"/>
  <c r="N568" i="4"/>
  <c r="J568" i="4"/>
  <c r="I568" i="4"/>
  <c r="O568" i="4"/>
  <c r="F568" i="4"/>
  <c r="C568" i="4"/>
  <c r="D568" i="4"/>
  <c r="A568" i="4"/>
  <c r="L568" i="4"/>
  <c r="K568" i="4"/>
  <c r="E569" i="4" s="1"/>
  <c r="M568" i="4"/>
  <c r="I929" i="4"/>
  <c r="A929" i="4"/>
  <c r="K929" i="4"/>
  <c r="E930" i="4" s="1"/>
  <c r="J929" i="4"/>
  <c r="B929" i="4"/>
  <c r="G929" i="4"/>
  <c r="L929" i="4"/>
  <c r="N929" i="4"/>
  <c r="D929" i="4"/>
  <c r="H929" i="4"/>
  <c r="O929" i="4"/>
  <c r="F929" i="4"/>
  <c r="C929" i="4"/>
  <c r="M929" i="4"/>
  <c r="K569" i="4" l="1"/>
  <c r="E570" i="4" s="1"/>
  <c r="F569" i="4"/>
  <c r="B569" i="4"/>
  <c r="M569" i="4"/>
  <c r="L569" i="4"/>
  <c r="J569" i="4"/>
  <c r="I569" i="4"/>
  <c r="H569" i="4"/>
  <c r="N569" i="4"/>
  <c r="G569" i="4"/>
  <c r="C569" i="4"/>
  <c r="D569" i="4"/>
  <c r="A569" i="4"/>
  <c r="O569" i="4"/>
  <c r="K930" i="4"/>
  <c r="E931" i="4" s="1"/>
  <c r="J930" i="4"/>
  <c r="C930" i="4"/>
  <c r="A930" i="4"/>
  <c r="H930" i="4"/>
  <c r="D930" i="4"/>
  <c r="G930" i="4"/>
  <c r="N930" i="4"/>
  <c r="I930" i="4"/>
  <c r="O930" i="4"/>
  <c r="F930" i="4"/>
  <c r="M930" i="4"/>
  <c r="L930" i="4"/>
  <c r="B930" i="4"/>
  <c r="J931" i="4" l="1"/>
  <c r="F931" i="4"/>
  <c r="O931" i="4"/>
  <c r="C931" i="4"/>
  <c r="M931" i="4"/>
  <c r="N931" i="4"/>
  <c r="I931" i="4"/>
  <c r="H931" i="4"/>
  <c r="G931" i="4"/>
  <c r="A931" i="4"/>
  <c r="D931" i="4"/>
  <c r="K931" i="4"/>
  <c r="E932" i="4" s="1"/>
  <c r="B931" i="4"/>
  <c r="L931" i="4"/>
  <c r="K570" i="4"/>
  <c r="E571" i="4" s="1"/>
  <c r="I570" i="4"/>
  <c r="N570" i="4"/>
  <c r="M570" i="4"/>
  <c r="C570" i="4"/>
  <c r="J570" i="4"/>
  <c r="G570" i="4"/>
  <c r="F570" i="4"/>
  <c r="D570" i="4"/>
  <c r="L570" i="4"/>
  <c r="H570" i="4"/>
  <c r="B570" i="4"/>
  <c r="O570" i="4"/>
  <c r="A570" i="4"/>
  <c r="A932" i="4" l="1"/>
  <c r="G932" i="4"/>
  <c r="B932" i="4"/>
  <c r="I932" i="4"/>
  <c r="C932" i="4"/>
  <c r="N932" i="4"/>
  <c r="M932" i="4"/>
  <c r="J932" i="4"/>
  <c r="H932" i="4"/>
  <c r="K932" i="4"/>
  <c r="E933" i="4" s="1"/>
  <c r="D932" i="4"/>
  <c r="O932" i="4"/>
  <c r="L932" i="4"/>
  <c r="F932" i="4"/>
  <c r="K571" i="4"/>
  <c r="E572" i="4" s="1"/>
  <c r="J571" i="4"/>
  <c r="O571" i="4"/>
  <c r="A571" i="4"/>
  <c r="L571" i="4"/>
  <c r="H571" i="4"/>
  <c r="G571" i="4"/>
  <c r="B571" i="4"/>
  <c r="M571" i="4"/>
  <c r="I571" i="4"/>
  <c r="F571" i="4"/>
  <c r="D571" i="4"/>
  <c r="C571" i="4"/>
  <c r="N571" i="4"/>
  <c r="A933" i="4" l="1"/>
  <c r="N933" i="4"/>
  <c r="L933" i="4"/>
  <c r="I933" i="4"/>
  <c r="C933" i="4"/>
  <c r="F933" i="4"/>
  <c r="O933" i="4"/>
  <c r="D933" i="4"/>
  <c r="M933" i="4"/>
  <c r="K933" i="4"/>
  <c r="E934" i="4" s="1"/>
  <c r="J933" i="4"/>
  <c r="H933" i="4"/>
  <c r="G933" i="4"/>
  <c r="B933" i="4"/>
  <c r="D572" i="4"/>
  <c r="A572" i="4"/>
  <c r="C572" i="4"/>
  <c r="M572" i="4"/>
  <c r="L572" i="4"/>
  <c r="H572" i="4"/>
  <c r="G572" i="4"/>
  <c r="O572" i="4"/>
  <c r="K572" i="4"/>
  <c r="E573" i="4" s="1"/>
  <c r="I572" i="4"/>
  <c r="B572" i="4"/>
  <c r="N572" i="4"/>
  <c r="J572" i="4"/>
  <c r="F572" i="4"/>
  <c r="F573" i="4" l="1"/>
  <c r="C573" i="4"/>
  <c r="D573" i="4"/>
  <c r="L573" i="4"/>
  <c r="B573" i="4"/>
  <c r="J573" i="4"/>
  <c r="N573" i="4"/>
  <c r="K573" i="4"/>
  <c r="E574" i="4" s="1"/>
  <c r="A573" i="4"/>
  <c r="M573" i="4"/>
  <c r="H573" i="4"/>
  <c r="O573" i="4"/>
  <c r="I573" i="4"/>
  <c r="G573" i="4"/>
  <c r="O934" i="4"/>
  <c r="I934" i="4"/>
  <c r="H934" i="4"/>
  <c r="G934" i="4"/>
  <c r="F934" i="4"/>
  <c r="D934" i="4"/>
  <c r="N934" i="4"/>
  <c r="M934" i="4"/>
  <c r="L934" i="4"/>
  <c r="K934" i="4"/>
  <c r="E935" i="4" s="1"/>
  <c r="C934" i="4"/>
  <c r="J934" i="4"/>
  <c r="B934" i="4"/>
  <c r="A934" i="4"/>
  <c r="H935" i="4" l="1"/>
  <c r="L935" i="4"/>
  <c r="F935" i="4"/>
  <c r="G935" i="4"/>
  <c r="D935" i="4"/>
  <c r="C935" i="4"/>
  <c r="K935" i="4"/>
  <c r="E936" i="4" s="1"/>
  <c r="O935" i="4"/>
  <c r="N935" i="4"/>
  <c r="J935" i="4"/>
  <c r="M935" i="4"/>
  <c r="A935" i="4"/>
  <c r="I935" i="4"/>
  <c r="B935" i="4"/>
  <c r="J574" i="4"/>
  <c r="F574" i="4"/>
  <c r="K574" i="4"/>
  <c r="E575" i="4" s="1"/>
  <c r="H574" i="4"/>
  <c r="D574" i="4"/>
  <c r="A574" i="4"/>
  <c r="M574" i="4"/>
  <c r="C574" i="4"/>
  <c r="B574" i="4"/>
  <c r="G574" i="4"/>
  <c r="L574" i="4"/>
  <c r="I574" i="4"/>
  <c r="O574" i="4"/>
  <c r="N574" i="4"/>
  <c r="B936" i="4" l="1"/>
  <c r="A936" i="4"/>
  <c r="J936" i="4"/>
  <c r="O936" i="4"/>
  <c r="N936" i="4"/>
  <c r="L936" i="4"/>
  <c r="K936" i="4"/>
  <c r="E937" i="4" s="1"/>
  <c r="F936" i="4"/>
  <c r="H936" i="4"/>
  <c r="G936" i="4"/>
  <c r="I936" i="4"/>
  <c r="D936" i="4"/>
  <c r="C936" i="4"/>
  <c r="M936" i="4"/>
  <c r="L575" i="4"/>
  <c r="F575" i="4"/>
  <c r="D575" i="4"/>
  <c r="J575" i="4"/>
  <c r="H575" i="4"/>
  <c r="K575" i="4"/>
  <c r="E576" i="4" s="1"/>
  <c r="I575" i="4"/>
  <c r="B575" i="4"/>
  <c r="O575" i="4"/>
  <c r="G575" i="4"/>
  <c r="C575" i="4"/>
  <c r="A575" i="4"/>
  <c r="N575" i="4"/>
  <c r="M575" i="4"/>
  <c r="G937" i="4" l="1"/>
  <c r="M937" i="4"/>
  <c r="J937" i="4"/>
  <c r="H937" i="4"/>
  <c r="F937" i="4"/>
  <c r="O937" i="4"/>
  <c r="L937" i="4"/>
  <c r="K937" i="4"/>
  <c r="E938" i="4" s="1"/>
  <c r="C937" i="4"/>
  <c r="N937" i="4"/>
  <c r="D937" i="4"/>
  <c r="I937" i="4"/>
  <c r="A937" i="4"/>
  <c r="B937" i="4"/>
  <c r="M576" i="4"/>
  <c r="L576" i="4"/>
  <c r="K576" i="4"/>
  <c r="E577" i="4" s="1"/>
  <c r="D576" i="4"/>
  <c r="C576" i="4"/>
  <c r="B576" i="4"/>
  <c r="A576" i="4"/>
  <c r="N576" i="4"/>
  <c r="J576" i="4"/>
  <c r="F576" i="4"/>
  <c r="O576" i="4"/>
  <c r="I576" i="4"/>
  <c r="H576" i="4"/>
  <c r="G576" i="4"/>
  <c r="O938" i="4" l="1"/>
  <c r="K938" i="4"/>
  <c r="E939" i="4" s="1"/>
  <c r="F938" i="4"/>
  <c r="N938" i="4"/>
  <c r="M938" i="4"/>
  <c r="D938" i="4"/>
  <c r="C938" i="4"/>
  <c r="L938" i="4"/>
  <c r="H938" i="4"/>
  <c r="G938" i="4"/>
  <c r="A938" i="4"/>
  <c r="B938" i="4"/>
  <c r="J938" i="4"/>
  <c r="I938" i="4"/>
  <c r="C577" i="4"/>
  <c r="N577" i="4"/>
  <c r="I577" i="4"/>
  <c r="B577" i="4"/>
  <c r="O577" i="4"/>
  <c r="H577" i="4"/>
  <c r="G577" i="4"/>
  <c r="D577" i="4"/>
  <c r="F577" i="4"/>
  <c r="J577" i="4"/>
  <c r="A577" i="4"/>
  <c r="M577" i="4"/>
  <c r="L577" i="4"/>
  <c r="K577" i="4"/>
  <c r="E578" i="4" s="1"/>
  <c r="I578" i="4" l="1"/>
  <c r="C578" i="4"/>
  <c r="G578" i="4"/>
  <c r="L578" i="4"/>
  <c r="B578" i="4"/>
  <c r="D578" i="4"/>
  <c r="N578" i="4"/>
  <c r="M578" i="4"/>
  <c r="K578" i="4"/>
  <c r="E579" i="4" s="1"/>
  <c r="J578" i="4"/>
  <c r="A578" i="4"/>
  <c r="H578" i="4"/>
  <c r="F578" i="4"/>
  <c r="O578" i="4"/>
  <c r="K939" i="4"/>
  <c r="E940" i="4" s="1"/>
  <c r="F939" i="4"/>
  <c r="C939" i="4"/>
  <c r="H939" i="4"/>
  <c r="N939" i="4"/>
  <c r="M939" i="4"/>
  <c r="L939" i="4"/>
  <c r="G939" i="4"/>
  <c r="J939" i="4"/>
  <c r="I939" i="4"/>
  <c r="B939" i="4"/>
  <c r="A939" i="4"/>
  <c r="D939" i="4"/>
  <c r="O939" i="4"/>
  <c r="I579" i="4" l="1"/>
  <c r="K579" i="4"/>
  <c r="E580" i="4" s="1"/>
  <c r="J579" i="4"/>
  <c r="H579" i="4"/>
  <c r="D579" i="4"/>
  <c r="A579" i="4"/>
  <c r="O579" i="4"/>
  <c r="C579" i="4"/>
  <c r="B579" i="4"/>
  <c r="G579" i="4"/>
  <c r="F579" i="4"/>
  <c r="N579" i="4"/>
  <c r="M579" i="4"/>
  <c r="L579" i="4"/>
  <c r="A940" i="4"/>
  <c r="O940" i="4"/>
  <c r="D940" i="4"/>
  <c r="B940" i="4"/>
  <c r="J940" i="4"/>
  <c r="G940" i="4"/>
  <c r="F940" i="4"/>
  <c r="C940" i="4"/>
  <c r="N940" i="4"/>
  <c r="M940" i="4"/>
  <c r="I940" i="4"/>
  <c r="L940" i="4"/>
  <c r="K940" i="4"/>
  <c r="E941" i="4" s="1"/>
  <c r="H940" i="4"/>
  <c r="K941" i="4" l="1"/>
  <c r="E942" i="4" s="1"/>
  <c r="J941" i="4"/>
  <c r="F941" i="4"/>
  <c r="C941" i="4"/>
  <c r="D941" i="4"/>
  <c r="G941" i="4"/>
  <c r="N941" i="4"/>
  <c r="M941" i="4"/>
  <c r="H941" i="4"/>
  <c r="A941" i="4"/>
  <c r="B941" i="4"/>
  <c r="L941" i="4"/>
  <c r="O941" i="4"/>
  <c r="I941" i="4"/>
  <c r="I580" i="4"/>
  <c r="K580" i="4"/>
  <c r="E581" i="4" s="1"/>
  <c r="H580" i="4"/>
  <c r="G580" i="4"/>
  <c r="A580" i="4"/>
  <c r="F580" i="4"/>
  <c r="C580" i="4"/>
  <c r="B580" i="4"/>
  <c r="O580" i="4"/>
  <c r="L580" i="4"/>
  <c r="D580" i="4"/>
  <c r="M580" i="4"/>
  <c r="N580" i="4"/>
  <c r="J580" i="4"/>
  <c r="N581" i="4" l="1"/>
  <c r="L581" i="4"/>
  <c r="D581" i="4"/>
  <c r="M581" i="4"/>
  <c r="J581" i="4"/>
  <c r="I581" i="4"/>
  <c r="F581" i="4"/>
  <c r="A581" i="4"/>
  <c r="B581" i="4"/>
  <c r="C581" i="4"/>
  <c r="K581" i="4"/>
  <c r="E582" i="4" s="1"/>
  <c r="H581" i="4"/>
  <c r="G581" i="4"/>
  <c r="O581" i="4"/>
  <c r="K942" i="4"/>
  <c r="E943" i="4" s="1"/>
  <c r="J942" i="4"/>
  <c r="I942" i="4"/>
  <c r="A942" i="4"/>
  <c r="M942" i="4"/>
  <c r="G942" i="4"/>
  <c r="O942" i="4"/>
  <c r="H942" i="4"/>
  <c r="N942" i="4"/>
  <c r="D942" i="4"/>
  <c r="C942" i="4"/>
  <c r="F942" i="4"/>
  <c r="B942" i="4"/>
  <c r="L942" i="4"/>
  <c r="L582" i="4" l="1"/>
  <c r="K582" i="4"/>
  <c r="E583" i="4" s="1"/>
  <c r="J582" i="4"/>
  <c r="D582" i="4"/>
  <c r="I582" i="4"/>
  <c r="H582" i="4"/>
  <c r="G582" i="4"/>
  <c r="O582" i="4"/>
  <c r="A582" i="4"/>
  <c r="N582" i="4"/>
  <c r="C582" i="4"/>
  <c r="B582" i="4"/>
  <c r="M582" i="4"/>
  <c r="F582" i="4"/>
  <c r="D943" i="4"/>
  <c r="M943" i="4"/>
  <c r="B943" i="4"/>
  <c r="I943" i="4"/>
  <c r="K943" i="4"/>
  <c r="E944" i="4" s="1"/>
  <c r="O943" i="4"/>
  <c r="N943" i="4"/>
  <c r="C943" i="4"/>
  <c r="F943" i="4"/>
  <c r="A943" i="4"/>
  <c r="J943" i="4"/>
  <c r="H943" i="4"/>
  <c r="G943" i="4"/>
  <c r="L943" i="4"/>
  <c r="D944" i="4" l="1"/>
  <c r="C944" i="4"/>
  <c r="N944" i="4"/>
  <c r="I944" i="4"/>
  <c r="H944" i="4"/>
  <c r="M944" i="4"/>
  <c r="B944" i="4"/>
  <c r="O944" i="4"/>
  <c r="J944" i="4"/>
  <c r="F944" i="4"/>
  <c r="L944" i="4"/>
  <c r="K944" i="4"/>
  <c r="E945" i="4" s="1"/>
  <c r="A944" i="4"/>
  <c r="G944" i="4"/>
  <c r="L583" i="4"/>
  <c r="J583" i="4"/>
  <c r="G583" i="4"/>
  <c r="K583" i="4"/>
  <c r="E584" i="4" s="1"/>
  <c r="I583" i="4"/>
  <c r="H583" i="4"/>
  <c r="B583" i="4"/>
  <c r="O583" i="4"/>
  <c r="M583" i="4"/>
  <c r="C583" i="4"/>
  <c r="N583" i="4"/>
  <c r="F583" i="4"/>
  <c r="D583" i="4"/>
  <c r="A583" i="4"/>
  <c r="O945" i="4" l="1"/>
  <c r="N945" i="4"/>
  <c r="D945" i="4"/>
  <c r="A945" i="4"/>
  <c r="J945" i="4"/>
  <c r="C945" i="4"/>
  <c r="B945" i="4"/>
  <c r="M945" i="4"/>
  <c r="G945" i="4"/>
  <c r="K945" i="4"/>
  <c r="E946" i="4" s="1"/>
  <c r="I945" i="4"/>
  <c r="F945" i="4"/>
  <c r="H945" i="4"/>
  <c r="L945" i="4"/>
  <c r="K584" i="4"/>
  <c r="E585" i="4" s="1"/>
  <c r="I584" i="4"/>
  <c r="G584" i="4"/>
  <c r="L584" i="4"/>
  <c r="B584" i="4"/>
  <c r="M584" i="4"/>
  <c r="F584" i="4"/>
  <c r="J584" i="4"/>
  <c r="H584" i="4"/>
  <c r="D584" i="4"/>
  <c r="C584" i="4"/>
  <c r="O584" i="4"/>
  <c r="A584" i="4"/>
  <c r="N584" i="4"/>
  <c r="H946" i="4" l="1"/>
  <c r="A946" i="4"/>
  <c r="O946" i="4"/>
  <c r="N946" i="4"/>
  <c r="M946" i="4"/>
  <c r="J946" i="4"/>
  <c r="D946" i="4"/>
  <c r="L946" i="4"/>
  <c r="B946" i="4"/>
  <c r="K946" i="4"/>
  <c r="E947" i="4" s="1"/>
  <c r="C946" i="4"/>
  <c r="G946" i="4"/>
  <c r="F946" i="4"/>
  <c r="I946" i="4"/>
  <c r="J585" i="4"/>
  <c r="K585" i="4"/>
  <c r="E586" i="4" s="1"/>
  <c r="O585" i="4"/>
  <c r="L585" i="4"/>
  <c r="I585" i="4"/>
  <c r="A585" i="4"/>
  <c r="M585" i="4"/>
  <c r="F585" i="4"/>
  <c r="C585" i="4"/>
  <c r="N585" i="4"/>
  <c r="G585" i="4"/>
  <c r="B585" i="4"/>
  <c r="H585" i="4"/>
  <c r="D585" i="4"/>
  <c r="G947" i="4" l="1"/>
  <c r="C947" i="4"/>
  <c r="A947" i="4"/>
  <c r="L947" i="4"/>
  <c r="K947" i="4"/>
  <c r="E948" i="4" s="1"/>
  <c r="F947" i="4"/>
  <c r="B947" i="4"/>
  <c r="N947" i="4"/>
  <c r="J947" i="4"/>
  <c r="D947" i="4"/>
  <c r="H947" i="4"/>
  <c r="I947" i="4"/>
  <c r="O947" i="4"/>
  <c r="M947" i="4"/>
  <c r="C586" i="4"/>
  <c r="I586" i="4"/>
  <c r="F586" i="4"/>
  <c r="A586" i="4"/>
  <c r="M586" i="4"/>
  <c r="L586" i="4"/>
  <c r="O586" i="4"/>
  <c r="J586" i="4"/>
  <c r="N586" i="4"/>
  <c r="K586" i="4"/>
  <c r="E587" i="4" s="1"/>
  <c r="H586" i="4"/>
  <c r="B586" i="4"/>
  <c r="G586" i="4"/>
  <c r="D586" i="4"/>
  <c r="H587" i="4" l="1"/>
  <c r="G587" i="4"/>
  <c r="C587" i="4"/>
  <c r="A587" i="4"/>
  <c r="F587" i="4"/>
  <c r="B587" i="4"/>
  <c r="L587" i="4"/>
  <c r="K587" i="4"/>
  <c r="E588" i="4" s="1"/>
  <c r="O587" i="4"/>
  <c r="N587" i="4"/>
  <c r="I587" i="4"/>
  <c r="D587" i="4"/>
  <c r="M587" i="4"/>
  <c r="J587" i="4"/>
  <c r="G948" i="4"/>
  <c r="D948" i="4"/>
  <c r="C948" i="4"/>
  <c r="B948" i="4"/>
  <c r="O948" i="4"/>
  <c r="J948" i="4"/>
  <c r="K948" i="4"/>
  <c r="E949" i="4" s="1"/>
  <c r="A948" i="4"/>
  <c r="F948" i="4"/>
  <c r="L948" i="4"/>
  <c r="I948" i="4"/>
  <c r="N948" i="4"/>
  <c r="M948" i="4"/>
  <c r="H948" i="4"/>
  <c r="A588" i="4" l="1"/>
  <c r="O588" i="4"/>
  <c r="H588" i="4"/>
  <c r="G588" i="4"/>
  <c r="F588" i="4"/>
  <c r="N588" i="4"/>
  <c r="K588" i="4"/>
  <c r="E589" i="4" s="1"/>
  <c r="I588" i="4"/>
  <c r="D588" i="4"/>
  <c r="B588" i="4"/>
  <c r="M588" i="4"/>
  <c r="L588" i="4"/>
  <c r="J588" i="4"/>
  <c r="C588" i="4"/>
  <c r="J949" i="4"/>
  <c r="O949" i="4"/>
  <c r="D949" i="4"/>
  <c r="H949" i="4"/>
  <c r="A949" i="4"/>
  <c r="I949" i="4"/>
  <c r="B949" i="4"/>
  <c r="L949" i="4"/>
  <c r="N949" i="4"/>
  <c r="F949" i="4"/>
  <c r="C949" i="4"/>
  <c r="K949" i="4"/>
  <c r="E950" i="4" s="1"/>
  <c r="M949" i="4"/>
  <c r="G949" i="4"/>
  <c r="N950" i="4" l="1"/>
  <c r="M950" i="4"/>
  <c r="L950" i="4"/>
  <c r="B950" i="4"/>
  <c r="A950" i="4"/>
  <c r="K950" i="4"/>
  <c r="E951" i="4" s="1"/>
  <c r="G950" i="4"/>
  <c r="J950" i="4"/>
  <c r="I950" i="4"/>
  <c r="D950" i="4"/>
  <c r="C950" i="4"/>
  <c r="O950" i="4"/>
  <c r="H950" i="4"/>
  <c r="F950" i="4"/>
  <c r="A589" i="4"/>
  <c r="O589" i="4"/>
  <c r="N589" i="4"/>
  <c r="L589" i="4"/>
  <c r="K589" i="4"/>
  <c r="E590" i="4" s="1"/>
  <c r="B589" i="4"/>
  <c r="M589" i="4"/>
  <c r="J589" i="4"/>
  <c r="I589" i="4"/>
  <c r="H589" i="4"/>
  <c r="F589" i="4"/>
  <c r="D589" i="4"/>
  <c r="C589" i="4"/>
  <c r="G589" i="4"/>
  <c r="N951" i="4" l="1"/>
  <c r="J951" i="4"/>
  <c r="L951" i="4"/>
  <c r="K951" i="4"/>
  <c r="E952" i="4" s="1"/>
  <c r="D951" i="4"/>
  <c r="B951" i="4"/>
  <c r="G951" i="4"/>
  <c r="F951" i="4"/>
  <c r="M951" i="4"/>
  <c r="H951" i="4"/>
  <c r="A951" i="4"/>
  <c r="O951" i="4"/>
  <c r="I951" i="4"/>
  <c r="C951" i="4"/>
  <c r="B590" i="4"/>
  <c r="A590" i="4"/>
  <c r="J590" i="4"/>
  <c r="K590" i="4"/>
  <c r="E591" i="4" s="1"/>
  <c r="O590" i="4"/>
  <c r="I590" i="4"/>
  <c r="G590" i="4"/>
  <c r="N590" i="4"/>
  <c r="C590" i="4"/>
  <c r="H590" i="4"/>
  <c r="D590" i="4"/>
  <c r="L590" i="4"/>
  <c r="M590" i="4"/>
  <c r="F590" i="4"/>
  <c r="F952" i="4" l="1"/>
  <c r="C952" i="4"/>
  <c r="B952" i="4"/>
  <c r="O952" i="4"/>
  <c r="L952" i="4"/>
  <c r="H952" i="4"/>
  <c r="D952" i="4"/>
  <c r="K952" i="4"/>
  <c r="E953" i="4" s="1"/>
  <c r="A952" i="4"/>
  <c r="G952" i="4"/>
  <c r="N952" i="4"/>
  <c r="M952" i="4"/>
  <c r="J952" i="4"/>
  <c r="I952" i="4"/>
  <c r="L591" i="4"/>
  <c r="A591" i="4"/>
  <c r="I591" i="4"/>
  <c r="O591" i="4"/>
  <c r="N591" i="4"/>
  <c r="K591" i="4"/>
  <c r="E592" i="4" s="1"/>
  <c r="G591" i="4"/>
  <c r="J591" i="4"/>
  <c r="D591" i="4"/>
  <c r="H591" i="4"/>
  <c r="C591" i="4"/>
  <c r="B591" i="4"/>
  <c r="F591" i="4"/>
  <c r="M591" i="4"/>
  <c r="N592" i="4" l="1"/>
  <c r="M592" i="4"/>
  <c r="C592" i="4"/>
  <c r="K592" i="4"/>
  <c r="E593" i="4" s="1"/>
  <c r="I592" i="4"/>
  <c r="H592" i="4"/>
  <c r="B592" i="4"/>
  <c r="F592" i="4"/>
  <c r="A592" i="4"/>
  <c r="O592" i="4"/>
  <c r="J592" i="4"/>
  <c r="G592" i="4"/>
  <c r="D592" i="4"/>
  <c r="L592" i="4"/>
  <c r="F953" i="4"/>
  <c r="H953" i="4"/>
  <c r="J953" i="4"/>
  <c r="A953" i="4"/>
  <c r="L953" i="4"/>
  <c r="B953" i="4"/>
  <c r="G953" i="4"/>
  <c r="D953" i="4"/>
  <c r="C953" i="4"/>
  <c r="I953" i="4"/>
  <c r="O953" i="4"/>
  <c r="M953" i="4"/>
  <c r="N953" i="4"/>
  <c r="K953" i="4"/>
  <c r="E954" i="4" s="1"/>
  <c r="C954" i="4" l="1"/>
  <c r="B954" i="4"/>
  <c r="M954" i="4"/>
  <c r="H954" i="4"/>
  <c r="I954" i="4"/>
  <c r="A954" i="4"/>
  <c r="G954" i="4"/>
  <c r="F954" i="4"/>
  <c r="O954" i="4"/>
  <c r="N954" i="4"/>
  <c r="D954" i="4"/>
  <c r="J954" i="4"/>
  <c r="K954" i="4"/>
  <c r="E955" i="4" s="1"/>
  <c r="L954" i="4"/>
  <c r="O593" i="4"/>
  <c r="J593" i="4"/>
  <c r="M593" i="4"/>
  <c r="N593" i="4"/>
  <c r="L593" i="4"/>
  <c r="K593" i="4"/>
  <c r="E594" i="4" s="1"/>
  <c r="F593" i="4"/>
  <c r="H593" i="4"/>
  <c r="G593" i="4"/>
  <c r="D593" i="4"/>
  <c r="I593" i="4"/>
  <c r="C593" i="4"/>
  <c r="B593" i="4"/>
  <c r="A593" i="4"/>
  <c r="J955" i="4" l="1"/>
  <c r="O955" i="4"/>
  <c r="G955" i="4"/>
  <c r="C955" i="4"/>
  <c r="M955" i="4"/>
  <c r="L955" i="4"/>
  <c r="K955" i="4"/>
  <c r="E956" i="4" s="1"/>
  <c r="N955" i="4"/>
  <c r="D955" i="4"/>
  <c r="F955" i="4"/>
  <c r="A955" i="4"/>
  <c r="B955" i="4"/>
  <c r="H955" i="4"/>
  <c r="I955" i="4"/>
  <c r="N594" i="4"/>
  <c r="F594" i="4"/>
  <c r="K594" i="4"/>
  <c r="E595" i="4" s="1"/>
  <c r="H594" i="4"/>
  <c r="M594" i="4"/>
  <c r="D594" i="4"/>
  <c r="O594" i="4"/>
  <c r="C594" i="4"/>
  <c r="J594" i="4"/>
  <c r="I594" i="4"/>
  <c r="L594" i="4"/>
  <c r="G594" i="4"/>
  <c r="B594" i="4"/>
  <c r="A594" i="4"/>
  <c r="O956" i="4" l="1"/>
  <c r="J956" i="4"/>
  <c r="G956" i="4"/>
  <c r="K956" i="4"/>
  <c r="E957" i="4" s="1"/>
  <c r="C956" i="4"/>
  <c r="B956" i="4"/>
  <c r="D956" i="4"/>
  <c r="H956" i="4"/>
  <c r="N956" i="4"/>
  <c r="M956" i="4"/>
  <c r="I956" i="4"/>
  <c r="A956" i="4"/>
  <c r="L956" i="4"/>
  <c r="F956" i="4"/>
  <c r="G595" i="4"/>
  <c r="F595" i="4"/>
  <c r="C595" i="4"/>
  <c r="B595" i="4"/>
  <c r="O595" i="4"/>
  <c r="N595" i="4"/>
  <c r="K595" i="4"/>
  <c r="E596" i="4" s="1"/>
  <c r="D595" i="4"/>
  <c r="J595" i="4"/>
  <c r="H595" i="4"/>
  <c r="A595" i="4"/>
  <c r="M595" i="4"/>
  <c r="L595" i="4"/>
  <c r="I595" i="4"/>
  <c r="L596" i="4" l="1"/>
  <c r="K596" i="4"/>
  <c r="E597" i="4" s="1"/>
  <c r="H596" i="4"/>
  <c r="G596" i="4"/>
  <c r="I596" i="4"/>
  <c r="N596" i="4"/>
  <c r="F596" i="4"/>
  <c r="D596" i="4"/>
  <c r="J596" i="4"/>
  <c r="C596" i="4"/>
  <c r="O596" i="4"/>
  <c r="A596" i="4"/>
  <c r="M596" i="4"/>
  <c r="B596" i="4"/>
  <c r="C957" i="4"/>
  <c r="K957" i="4"/>
  <c r="E958" i="4" s="1"/>
  <c r="B957" i="4"/>
  <c r="H957" i="4"/>
  <c r="G957" i="4"/>
  <c r="N957" i="4"/>
  <c r="A957" i="4"/>
  <c r="O957" i="4"/>
  <c r="M957" i="4"/>
  <c r="L957" i="4"/>
  <c r="I957" i="4"/>
  <c r="J957" i="4"/>
  <c r="F957" i="4"/>
  <c r="D957" i="4"/>
  <c r="F958" i="4" l="1"/>
  <c r="J958" i="4"/>
  <c r="H958" i="4"/>
  <c r="D958" i="4"/>
  <c r="C958" i="4"/>
  <c r="K958" i="4"/>
  <c r="E959" i="4" s="1"/>
  <c r="N958" i="4"/>
  <c r="M958" i="4"/>
  <c r="L958" i="4"/>
  <c r="G958" i="4"/>
  <c r="O958" i="4"/>
  <c r="A958" i="4"/>
  <c r="B958" i="4"/>
  <c r="I958" i="4"/>
  <c r="D597" i="4"/>
  <c r="C597" i="4"/>
  <c r="A597" i="4"/>
  <c r="N597" i="4"/>
  <c r="G597" i="4"/>
  <c r="F597" i="4"/>
  <c r="K597" i="4"/>
  <c r="E598" i="4" s="1"/>
  <c r="M597" i="4"/>
  <c r="L597" i="4"/>
  <c r="J597" i="4"/>
  <c r="I597" i="4"/>
  <c r="H597" i="4"/>
  <c r="B597" i="4"/>
  <c r="O597" i="4"/>
  <c r="O959" i="4" l="1"/>
  <c r="H959" i="4"/>
  <c r="A959" i="4"/>
  <c r="M959" i="4"/>
  <c r="N959" i="4"/>
  <c r="C959" i="4"/>
  <c r="I959" i="4"/>
  <c r="L959" i="4"/>
  <c r="K959" i="4"/>
  <c r="E960" i="4" s="1"/>
  <c r="J959" i="4"/>
  <c r="F959" i="4"/>
  <c r="D959" i="4"/>
  <c r="B959" i="4"/>
  <c r="G959" i="4"/>
  <c r="D598" i="4"/>
  <c r="L598" i="4"/>
  <c r="K598" i="4"/>
  <c r="E599" i="4" s="1"/>
  <c r="B598" i="4"/>
  <c r="F598" i="4"/>
  <c r="C598" i="4"/>
  <c r="A598" i="4"/>
  <c r="G598" i="4"/>
  <c r="O598" i="4"/>
  <c r="M598" i="4"/>
  <c r="J598" i="4"/>
  <c r="N598" i="4"/>
  <c r="I598" i="4"/>
  <c r="H598" i="4"/>
  <c r="K960" i="4" l="1"/>
  <c r="E961" i="4" s="1"/>
  <c r="J960" i="4"/>
  <c r="I960" i="4"/>
  <c r="C960" i="4"/>
  <c r="M960" i="4"/>
  <c r="F960" i="4"/>
  <c r="B960" i="4"/>
  <c r="G960" i="4"/>
  <c r="N960" i="4"/>
  <c r="A960" i="4"/>
  <c r="L960" i="4"/>
  <c r="O960" i="4"/>
  <c r="H960" i="4"/>
  <c r="D960" i="4"/>
  <c r="O599" i="4"/>
  <c r="M599" i="4"/>
  <c r="K599" i="4"/>
  <c r="E600" i="4" s="1"/>
  <c r="H599" i="4"/>
  <c r="F599" i="4"/>
  <c r="A599" i="4"/>
  <c r="N599" i="4"/>
  <c r="I599" i="4"/>
  <c r="G599" i="4"/>
  <c r="B599" i="4"/>
  <c r="J599" i="4"/>
  <c r="C599" i="4"/>
  <c r="D599" i="4"/>
  <c r="L599" i="4"/>
  <c r="H600" i="4" l="1"/>
  <c r="D600" i="4"/>
  <c r="M600" i="4"/>
  <c r="A600" i="4"/>
  <c r="C600" i="4"/>
  <c r="N600" i="4"/>
  <c r="K600" i="4"/>
  <c r="E601" i="4" s="1"/>
  <c r="O600" i="4"/>
  <c r="G600" i="4"/>
  <c r="L600" i="4"/>
  <c r="B600" i="4"/>
  <c r="I600" i="4"/>
  <c r="J600" i="4"/>
  <c r="F600" i="4"/>
  <c r="C961" i="4"/>
  <c r="A961" i="4"/>
  <c r="M961" i="4"/>
  <c r="K961" i="4"/>
  <c r="E962" i="4" s="1"/>
  <c r="B961" i="4"/>
  <c r="L961" i="4"/>
  <c r="H961" i="4"/>
  <c r="O961" i="4"/>
  <c r="N961" i="4"/>
  <c r="D961" i="4"/>
  <c r="J961" i="4"/>
  <c r="F961" i="4"/>
  <c r="G961" i="4"/>
  <c r="I961" i="4"/>
  <c r="B601" i="4" l="1"/>
  <c r="H601" i="4"/>
  <c r="G601" i="4"/>
  <c r="F601" i="4"/>
  <c r="M601" i="4"/>
  <c r="C601" i="4"/>
  <c r="A601" i="4"/>
  <c r="O601" i="4"/>
  <c r="I601" i="4"/>
  <c r="N601" i="4"/>
  <c r="K601" i="4"/>
  <c r="E602" i="4" s="1"/>
  <c r="L601" i="4"/>
  <c r="J601" i="4"/>
  <c r="D601" i="4"/>
  <c r="F962" i="4"/>
  <c r="H962" i="4"/>
  <c r="M962" i="4"/>
  <c r="L962" i="4"/>
  <c r="D962" i="4"/>
  <c r="I962" i="4"/>
  <c r="C962" i="4"/>
  <c r="J962" i="4"/>
  <c r="N962" i="4"/>
  <c r="K962" i="4"/>
  <c r="E963" i="4" s="1"/>
  <c r="G962" i="4"/>
  <c r="B962" i="4"/>
  <c r="A962" i="4"/>
  <c r="O962" i="4"/>
  <c r="A602" i="4" l="1"/>
  <c r="M602" i="4"/>
  <c r="N602" i="4"/>
  <c r="O602" i="4"/>
  <c r="L602" i="4"/>
  <c r="K602" i="4"/>
  <c r="E603" i="4" s="1"/>
  <c r="J602" i="4"/>
  <c r="I602" i="4"/>
  <c r="H602" i="4"/>
  <c r="G602" i="4"/>
  <c r="F602" i="4"/>
  <c r="D602" i="4"/>
  <c r="C602" i="4"/>
  <c r="B602" i="4"/>
  <c r="F963" i="4"/>
  <c r="D963" i="4"/>
  <c r="K963" i="4"/>
  <c r="E964" i="4" s="1"/>
  <c r="J963" i="4"/>
  <c r="G963" i="4"/>
  <c r="C963" i="4"/>
  <c r="B963" i="4"/>
  <c r="H963" i="4"/>
  <c r="N963" i="4"/>
  <c r="M963" i="4"/>
  <c r="A963" i="4"/>
  <c r="O963" i="4"/>
  <c r="L963" i="4"/>
  <c r="I963" i="4"/>
  <c r="J603" i="4" l="1"/>
  <c r="N603" i="4"/>
  <c r="L603" i="4"/>
  <c r="F603" i="4"/>
  <c r="D603" i="4"/>
  <c r="B603" i="4"/>
  <c r="C603" i="4"/>
  <c r="I603" i="4"/>
  <c r="H603" i="4"/>
  <c r="O603" i="4"/>
  <c r="K603" i="4"/>
  <c r="E604" i="4" s="1"/>
  <c r="M603" i="4"/>
  <c r="A603" i="4"/>
  <c r="G603" i="4"/>
  <c r="L964" i="4"/>
  <c r="F964" i="4"/>
  <c r="D964" i="4"/>
  <c r="C964" i="4"/>
  <c r="K964" i="4"/>
  <c r="E965" i="4" s="1"/>
  <c r="J964" i="4"/>
  <c r="H964" i="4"/>
  <c r="G964" i="4"/>
  <c r="O964" i="4"/>
  <c r="B964" i="4"/>
  <c r="I964" i="4"/>
  <c r="A964" i="4"/>
  <c r="N964" i="4"/>
  <c r="M964" i="4"/>
  <c r="F604" i="4" l="1"/>
  <c r="A604" i="4"/>
  <c r="C604" i="4"/>
  <c r="B604" i="4"/>
  <c r="J604" i="4"/>
  <c r="I604" i="4"/>
  <c r="H604" i="4"/>
  <c r="N604" i="4"/>
  <c r="M604" i="4"/>
  <c r="K604" i="4"/>
  <c r="E605" i="4" s="1"/>
  <c r="D604" i="4"/>
  <c r="O604" i="4"/>
  <c r="L604" i="4"/>
  <c r="G604" i="4"/>
  <c r="K965" i="4"/>
  <c r="E966" i="4" s="1"/>
  <c r="H965" i="4"/>
  <c r="N965" i="4"/>
  <c r="J965" i="4"/>
  <c r="D965" i="4"/>
  <c r="G965" i="4"/>
  <c r="B965" i="4"/>
  <c r="F965" i="4"/>
  <c r="C965" i="4"/>
  <c r="I965" i="4"/>
  <c r="A965" i="4"/>
  <c r="O965" i="4"/>
  <c r="M965" i="4"/>
  <c r="L965" i="4"/>
  <c r="A605" i="4" l="1"/>
  <c r="J605" i="4"/>
  <c r="F605" i="4"/>
  <c r="O605" i="4"/>
  <c r="L605" i="4"/>
  <c r="D605" i="4"/>
  <c r="B605" i="4"/>
  <c r="N605" i="4"/>
  <c r="K605" i="4"/>
  <c r="E606" i="4" s="1"/>
  <c r="M605" i="4"/>
  <c r="I605" i="4"/>
  <c r="G605" i="4"/>
  <c r="H605" i="4"/>
  <c r="C605" i="4"/>
  <c r="O966" i="4"/>
  <c r="L966" i="4"/>
  <c r="G966" i="4"/>
  <c r="B966" i="4"/>
  <c r="M966" i="4"/>
  <c r="I966" i="4"/>
  <c r="C966" i="4"/>
  <c r="N966" i="4"/>
  <c r="H966" i="4"/>
  <c r="J966" i="4"/>
  <c r="A966" i="4"/>
  <c r="D966" i="4"/>
  <c r="K966" i="4"/>
  <c r="E967" i="4" s="1"/>
  <c r="F966" i="4"/>
  <c r="M606" i="4" l="1"/>
  <c r="O606" i="4"/>
  <c r="H606" i="4"/>
  <c r="G606" i="4"/>
  <c r="F606" i="4"/>
  <c r="B606" i="4"/>
  <c r="L606" i="4"/>
  <c r="J606" i="4"/>
  <c r="I606" i="4"/>
  <c r="D606" i="4"/>
  <c r="N606" i="4"/>
  <c r="K606" i="4"/>
  <c r="E607" i="4" s="1"/>
  <c r="C606" i="4"/>
  <c r="A606" i="4"/>
  <c r="F967" i="4"/>
  <c r="I967" i="4"/>
  <c r="A967" i="4"/>
  <c r="D967" i="4"/>
  <c r="O967" i="4"/>
  <c r="H967" i="4"/>
  <c r="M967" i="4"/>
  <c r="C967" i="4"/>
  <c r="B967" i="4"/>
  <c r="L967" i="4"/>
  <c r="G967" i="4"/>
  <c r="N967" i="4"/>
  <c r="J967" i="4"/>
  <c r="K967" i="4"/>
  <c r="E968" i="4" s="1"/>
  <c r="F968" i="4" l="1"/>
  <c r="B968" i="4"/>
  <c r="K968" i="4"/>
  <c r="E969" i="4" s="1"/>
  <c r="D968" i="4"/>
  <c r="A968" i="4"/>
  <c r="I968" i="4"/>
  <c r="N968" i="4"/>
  <c r="L968" i="4"/>
  <c r="H968" i="4"/>
  <c r="J968" i="4"/>
  <c r="G968" i="4"/>
  <c r="C968" i="4"/>
  <c r="O968" i="4"/>
  <c r="M968" i="4"/>
  <c r="G607" i="4"/>
  <c r="D607" i="4"/>
  <c r="H607" i="4"/>
  <c r="O607" i="4"/>
  <c r="F607" i="4"/>
  <c r="M607" i="4"/>
  <c r="L607" i="4"/>
  <c r="K607" i="4"/>
  <c r="E608" i="4" s="1"/>
  <c r="I607" i="4"/>
  <c r="C607" i="4"/>
  <c r="J607" i="4"/>
  <c r="B607" i="4"/>
  <c r="A607" i="4"/>
  <c r="N607" i="4"/>
  <c r="F969" i="4" l="1"/>
  <c r="C969" i="4"/>
  <c r="N969" i="4"/>
  <c r="G969" i="4"/>
  <c r="B969" i="4"/>
  <c r="J969" i="4"/>
  <c r="D969" i="4"/>
  <c r="A969" i="4"/>
  <c r="I969" i="4"/>
  <c r="H969" i="4"/>
  <c r="L969" i="4"/>
  <c r="K969" i="4"/>
  <c r="E970" i="4" s="1"/>
  <c r="M969" i="4"/>
  <c r="O969" i="4"/>
  <c r="B608" i="4"/>
  <c r="C608" i="4"/>
  <c r="J608" i="4"/>
  <c r="I608" i="4"/>
  <c r="H608" i="4"/>
  <c r="G608" i="4"/>
  <c r="A608" i="4"/>
  <c r="F608" i="4"/>
  <c r="D608" i="4"/>
  <c r="O608" i="4"/>
  <c r="N608" i="4"/>
  <c r="M608" i="4"/>
  <c r="L608" i="4"/>
  <c r="K608" i="4"/>
  <c r="E609" i="4" s="1"/>
  <c r="O609" i="4" l="1"/>
  <c r="I609" i="4"/>
  <c r="G609" i="4"/>
  <c r="B609" i="4"/>
  <c r="N609" i="4"/>
  <c r="M609" i="4"/>
  <c r="H609" i="4"/>
  <c r="A609" i="4"/>
  <c r="J609" i="4"/>
  <c r="K609" i="4"/>
  <c r="E610" i="4" s="1"/>
  <c r="F609" i="4"/>
  <c r="D609" i="4"/>
  <c r="L609" i="4"/>
  <c r="C609" i="4"/>
  <c r="G970" i="4"/>
  <c r="A970" i="4"/>
  <c r="C970" i="4"/>
  <c r="H970" i="4"/>
  <c r="F970" i="4"/>
  <c r="B970" i="4"/>
  <c r="N970" i="4"/>
  <c r="K970" i="4"/>
  <c r="E971" i="4" s="1"/>
  <c r="I970" i="4"/>
  <c r="O970" i="4"/>
  <c r="J970" i="4"/>
  <c r="M970" i="4"/>
  <c r="L970" i="4"/>
  <c r="D970" i="4"/>
  <c r="G971" i="4" l="1"/>
  <c r="D971" i="4"/>
  <c r="B971" i="4"/>
  <c r="L971" i="4"/>
  <c r="I971" i="4"/>
  <c r="F971" i="4"/>
  <c r="H971" i="4"/>
  <c r="C971" i="4"/>
  <c r="A971" i="4"/>
  <c r="K971" i="4"/>
  <c r="E972" i="4" s="1"/>
  <c r="J971" i="4"/>
  <c r="O971" i="4"/>
  <c r="M971" i="4"/>
  <c r="N971" i="4"/>
  <c r="N610" i="4"/>
  <c r="L610" i="4"/>
  <c r="F610" i="4"/>
  <c r="D610" i="4"/>
  <c r="I610" i="4"/>
  <c r="K610" i="4"/>
  <c r="E611" i="4" s="1"/>
  <c r="A610" i="4"/>
  <c r="O610" i="4"/>
  <c r="M610" i="4"/>
  <c r="C610" i="4"/>
  <c r="H610" i="4"/>
  <c r="B610" i="4"/>
  <c r="J610" i="4"/>
  <c r="G610" i="4"/>
  <c r="O611" i="4" l="1"/>
  <c r="A611" i="4"/>
  <c r="F611" i="4"/>
  <c r="D611" i="4"/>
  <c r="B611" i="4"/>
  <c r="N611" i="4"/>
  <c r="K611" i="4"/>
  <c r="E612" i="4" s="1"/>
  <c r="I611" i="4"/>
  <c r="C611" i="4"/>
  <c r="M611" i="4"/>
  <c r="H611" i="4"/>
  <c r="L611" i="4"/>
  <c r="G611" i="4"/>
  <c r="J611" i="4"/>
  <c r="O972" i="4"/>
  <c r="I972" i="4"/>
  <c r="H972" i="4"/>
  <c r="C972" i="4"/>
  <c r="J972" i="4"/>
  <c r="A972" i="4"/>
  <c r="M972" i="4"/>
  <c r="D972" i="4"/>
  <c r="B972" i="4"/>
  <c r="G972" i="4"/>
  <c r="F972" i="4"/>
  <c r="N972" i="4"/>
  <c r="L972" i="4"/>
  <c r="K972" i="4"/>
  <c r="E973" i="4" s="1"/>
  <c r="J973" i="4" l="1"/>
  <c r="A973" i="4"/>
  <c r="I973" i="4"/>
  <c r="O973" i="4"/>
  <c r="L973" i="4"/>
  <c r="F973" i="4"/>
  <c r="N973" i="4"/>
  <c r="C973" i="4"/>
  <c r="G973" i="4"/>
  <c r="B973" i="4"/>
  <c r="K973" i="4"/>
  <c r="E974" i="4" s="1"/>
  <c r="H973" i="4"/>
  <c r="D973" i="4"/>
  <c r="M973" i="4"/>
  <c r="H612" i="4"/>
  <c r="G612" i="4"/>
  <c r="F612" i="4"/>
  <c r="M612" i="4"/>
  <c r="L612" i="4"/>
  <c r="J612" i="4"/>
  <c r="A612" i="4"/>
  <c r="D612" i="4"/>
  <c r="C612" i="4"/>
  <c r="I612" i="4"/>
  <c r="O612" i="4"/>
  <c r="N612" i="4"/>
  <c r="B612" i="4"/>
  <c r="K612" i="4"/>
  <c r="E613" i="4" s="1"/>
  <c r="L974" i="4" l="1"/>
  <c r="K974" i="4"/>
  <c r="E975" i="4" s="1"/>
  <c r="B974" i="4"/>
  <c r="G974" i="4"/>
  <c r="D974" i="4"/>
  <c r="C974" i="4"/>
  <c r="A974" i="4"/>
  <c r="M974" i="4"/>
  <c r="I974" i="4"/>
  <c r="H974" i="4"/>
  <c r="O974" i="4"/>
  <c r="J974" i="4"/>
  <c r="N974" i="4"/>
  <c r="F974" i="4"/>
  <c r="N613" i="4"/>
  <c r="K613" i="4"/>
  <c r="E614" i="4" s="1"/>
  <c r="D613" i="4"/>
  <c r="L613" i="4"/>
  <c r="J613" i="4"/>
  <c r="I613" i="4"/>
  <c r="M613" i="4"/>
  <c r="C613" i="4"/>
  <c r="G613" i="4"/>
  <c r="B613" i="4"/>
  <c r="H613" i="4"/>
  <c r="F613" i="4"/>
  <c r="A613" i="4"/>
  <c r="O613" i="4"/>
  <c r="I614" i="4" l="1"/>
  <c r="B614" i="4"/>
  <c r="D614" i="4"/>
  <c r="J614" i="4"/>
  <c r="H614" i="4"/>
  <c r="A614" i="4"/>
  <c r="F614" i="4"/>
  <c r="K614" i="4"/>
  <c r="E615" i="4" s="1"/>
  <c r="G614" i="4"/>
  <c r="M614" i="4"/>
  <c r="O614" i="4"/>
  <c r="N614" i="4"/>
  <c r="L614" i="4"/>
  <c r="C614" i="4"/>
  <c r="A975" i="4"/>
  <c r="M975" i="4"/>
  <c r="L975" i="4"/>
  <c r="I975" i="4"/>
  <c r="H975" i="4"/>
  <c r="N975" i="4"/>
  <c r="F975" i="4"/>
  <c r="B975" i="4"/>
  <c r="C975" i="4"/>
  <c r="J975" i="4"/>
  <c r="D975" i="4"/>
  <c r="G975" i="4"/>
  <c r="O975" i="4"/>
  <c r="K975" i="4"/>
  <c r="E976" i="4" s="1"/>
  <c r="K976" i="4" l="1"/>
  <c r="E977" i="4" s="1"/>
  <c r="N976" i="4"/>
  <c r="M976" i="4"/>
  <c r="C976" i="4"/>
  <c r="I976" i="4"/>
  <c r="J976" i="4"/>
  <c r="F976" i="4"/>
  <c r="B976" i="4"/>
  <c r="H976" i="4"/>
  <c r="L976" i="4"/>
  <c r="O976" i="4"/>
  <c r="D976" i="4"/>
  <c r="A976" i="4"/>
  <c r="G976" i="4"/>
  <c r="J615" i="4"/>
  <c r="I615" i="4"/>
  <c r="B615" i="4"/>
  <c r="H615" i="4"/>
  <c r="G615" i="4"/>
  <c r="A615" i="4"/>
  <c r="F615" i="4"/>
  <c r="C615" i="4"/>
  <c r="N615" i="4"/>
  <c r="K615" i="4"/>
  <c r="E616" i="4" s="1"/>
  <c r="O615" i="4"/>
  <c r="D615" i="4"/>
  <c r="M615" i="4"/>
  <c r="L615" i="4"/>
  <c r="H616" i="4" l="1"/>
  <c r="N616" i="4"/>
  <c r="C616" i="4"/>
  <c r="G616" i="4"/>
  <c r="F616" i="4"/>
  <c r="D616" i="4"/>
  <c r="A616" i="4"/>
  <c r="O616" i="4"/>
  <c r="M616" i="4"/>
  <c r="K616" i="4"/>
  <c r="E617" i="4" s="1"/>
  <c r="I616" i="4"/>
  <c r="B616" i="4"/>
  <c r="J616" i="4"/>
  <c r="L616" i="4"/>
  <c r="F977" i="4"/>
  <c r="C977" i="4"/>
  <c r="I977" i="4"/>
  <c r="M977" i="4"/>
  <c r="O977" i="4"/>
  <c r="A977" i="4"/>
  <c r="J977" i="4"/>
  <c r="H977" i="4"/>
  <c r="N977" i="4"/>
  <c r="B977" i="4"/>
  <c r="L977" i="4"/>
  <c r="K977" i="4"/>
  <c r="E978" i="4" s="1"/>
  <c r="D977" i="4"/>
  <c r="G977" i="4"/>
  <c r="C978" i="4" l="1"/>
  <c r="B978" i="4"/>
  <c r="O978" i="4"/>
  <c r="N978" i="4"/>
  <c r="I978" i="4"/>
  <c r="H978" i="4"/>
  <c r="A978" i="4"/>
  <c r="M978" i="4"/>
  <c r="L978" i="4"/>
  <c r="K978" i="4"/>
  <c r="E979" i="4" s="1"/>
  <c r="J978" i="4"/>
  <c r="F978" i="4"/>
  <c r="D978" i="4"/>
  <c r="G978" i="4"/>
  <c r="B617" i="4"/>
  <c r="O617" i="4"/>
  <c r="M617" i="4"/>
  <c r="C617" i="4"/>
  <c r="A617" i="4"/>
  <c r="K617" i="4"/>
  <c r="E618" i="4" s="1"/>
  <c r="N617" i="4"/>
  <c r="F617" i="4"/>
  <c r="D617" i="4"/>
  <c r="G617" i="4"/>
  <c r="L617" i="4"/>
  <c r="J617" i="4"/>
  <c r="I617" i="4"/>
  <c r="H617" i="4"/>
  <c r="D979" i="4" l="1"/>
  <c r="B979" i="4"/>
  <c r="K979" i="4"/>
  <c r="E980" i="4" s="1"/>
  <c r="H979" i="4"/>
  <c r="J979" i="4"/>
  <c r="A979" i="4"/>
  <c r="O979" i="4"/>
  <c r="G979" i="4"/>
  <c r="C979" i="4"/>
  <c r="N979" i="4"/>
  <c r="F979" i="4"/>
  <c r="M979" i="4"/>
  <c r="L979" i="4"/>
  <c r="I979" i="4"/>
  <c r="K618" i="4"/>
  <c r="E619" i="4" s="1"/>
  <c r="I618" i="4"/>
  <c r="H618" i="4"/>
  <c r="G618" i="4"/>
  <c r="B618" i="4"/>
  <c r="N618" i="4"/>
  <c r="J618" i="4"/>
  <c r="A618" i="4"/>
  <c r="M618" i="4"/>
  <c r="L618" i="4"/>
  <c r="F618" i="4"/>
  <c r="D618" i="4"/>
  <c r="C618" i="4"/>
  <c r="O618" i="4"/>
  <c r="I980" i="4" l="1"/>
  <c r="A980" i="4"/>
  <c r="G980" i="4"/>
  <c r="K980" i="4"/>
  <c r="E981" i="4" s="1"/>
  <c r="J980" i="4"/>
  <c r="D980" i="4"/>
  <c r="C980" i="4"/>
  <c r="F980" i="4"/>
  <c r="B980" i="4"/>
  <c r="O980" i="4"/>
  <c r="N980" i="4"/>
  <c r="H980" i="4"/>
  <c r="M980" i="4"/>
  <c r="L980" i="4"/>
  <c r="I619" i="4"/>
  <c r="G619" i="4"/>
  <c r="C619" i="4"/>
  <c r="H619" i="4"/>
  <c r="O619" i="4"/>
  <c r="N619" i="4"/>
  <c r="A619" i="4"/>
  <c r="F619" i="4"/>
  <c r="L619" i="4"/>
  <c r="J619" i="4"/>
  <c r="K619" i="4"/>
  <c r="E620" i="4" s="1"/>
  <c r="D619" i="4"/>
  <c r="M619" i="4"/>
  <c r="B619" i="4"/>
  <c r="L620" i="4" l="1"/>
  <c r="K620" i="4"/>
  <c r="E621" i="4" s="1"/>
  <c r="J620" i="4"/>
  <c r="C620" i="4"/>
  <c r="A620" i="4"/>
  <c r="N620" i="4"/>
  <c r="M620" i="4"/>
  <c r="B620" i="4"/>
  <c r="F620" i="4"/>
  <c r="O620" i="4"/>
  <c r="I620" i="4"/>
  <c r="H620" i="4"/>
  <c r="G620" i="4"/>
  <c r="D620" i="4"/>
  <c r="F981" i="4"/>
  <c r="D981" i="4"/>
  <c r="L981" i="4"/>
  <c r="M981" i="4"/>
  <c r="I981" i="4"/>
  <c r="C981" i="4"/>
  <c r="A981" i="4"/>
  <c r="K981" i="4"/>
  <c r="E982" i="4" s="1"/>
  <c r="J981" i="4"/>
  <c r="B981" i="4"/>
  <c r="N981" i="4"/>
  <c r="H981" i="4"/>
  <c r="O981" i="4"/>
  <c r="G981" i="4"/>
  <c r="B982" i="4" l="1"/>
  <c r="L982" i="4"/>
  <c r="C982" i="4"/>
  <c r="O982" i="4"/>
  <c r="A982" i="4"/>
  <c r="M982" i="4"/>
  <c r="K982" i="4"/>
  <c r="E983" i="4" s="1"/>
  <c r="H982" i="4"/>
  <c r="F982" i="4"/>
  <c r="J982" i="4"/>
  <c r="D982" i="4"/>
  <c r="N982" i="4"/>
  <c r="G982" i="4"/>
  <c r="I982" i="4"/>
  <c r="I621" i="4"/>
  <c r="F621" i="4"/>
  <c r="D621" i="4"/>
  <c r="M621" i="4"/>
  <c r="H621" i="4"/>
  <c r="G621" i="4"/>
  <c r="B621" i="4"/>
  <c r="A621" i="4"/>
  <c r="C621" i="4"/>
  <c r="N621" i="4"/>
  <c r="K621" i="4"/>
  <c r="E622" i="4" s="1"/>
  <c r="J621" i="4"/>
  <c r="O621" i="4"/>
  <c r="L621" i="4"/>
  <c r="L622" i="4" l="1"/>
  <c r="G622" i="4"/>
  <c r="H622" i="4"/>
  <c r="F622" i="4"/>
  <c r="D622" i="4"/>
  <c r="A622" i="4"/>
  <c r="J622" i="4"/>
  <c r="I622" i="4"/>
  <c r="C622" i="4"/>
  <c r="O622" i="4"/>
  <c r="N622" i="4"/>
  <c r="B622" i="4"/>
  <c r="M622" i="4"/>
  <c r="K622" i="4"/>
  <c r="E623" i="4" s="1"/>
  <c r="L983" i="4"/>
  <c r="K983" i="4"/>
  <c r="E984" i="4" s="1"/>
  <c r="J983" i="4"/>
  <c r="G983" i="4"/>
  <c r="D983" i="4"/>
  <c r="B983" i="4"/>
  <c r="N983" i="4"/>
  <c r="M983" i="4"/>
  <c r="A983" i="4"/>
  <c r="I983" i="4"/>
  <c r="O983" i="4"/>
  <c r="H983" i="4"/>
  <c r="F983" i="4"/>
  <c r="C983" i="4"/>
  <c r="B623" i="4" l="1"/>
  <c r="N623" i="4"/>
  <c r="F623" i="4"/>
  <c r="J623" i="4"/>
  <c r="A623" i="4"/>
  <c r="M623" i="4"/>
  <c r="G623" i="4"/>
  <c r="L623" i="4"/>
  <c r="C623" i="4"/>
  <c r="O623" i="4"/>
  <c r="K623" i="4"/>
  <c r="E624" i="4" s="1"/>
  <c r="I623" i="4"/>
  <c r="H623" i="4"/>
  <c r="D623" i="4"/>
  <c r="G984" i="4"/>
  <c r="M984" i="4"/>
  <c r="N984" i="4"/>
  <c r="L984" i="4"/>
  <c r="C984" i="4"/>
  <c r="A984" i="4"/>
  <c r="D984" i="4"/>
  <c r="B984" i="4"/>
  <c r="I984" i="4"/>
  <c r="H984" i="4"/>
  <c r="O984" i="4"/>
  <c r="K984" i="4"/>
  <c r="E985" i="4" s="1"/>
  <c r="J984" i="4"/>
  <c r="F984" i="4"/>
  <c r="B985" i="4" l="1"/>
  <c r="N985" i="4"/>
  <c r="A985" i="4"/>
  <c r="G985" i="4"/>
  <c r="F985" i="4"/>
  <c r="J985" i="4"/>
  <c r="O985" i="4"/>
  <c r="L985" i="4"/>
  <c r="K985" i="4"/>
  <c r="E986" i="4" s="1"/>
  <c r="I985" i="4"/>
  <c r="C985" i="4"/>
  <c r="M985" i="4"/>
  <c r="H985" i="4"/>
  <c r="D985" i="4"/>
  <c r="B624" i="4"/>
  <c r="I624" i="4"/>
  <c r="O624" i="4"/>
  <c r="M624" i="4"/>
  <c r="H624" i="4"/>
  <c r="F624" i="4"/>
  <c r="C624" i="4"/>
  <c r="N624" i="4"/>
  <c r="K624" i="4"/>
  <c r="E625" i="4" s="1"/>
  <c r="J624" i="4"/>
  <c r="G624" i="4"/>
  <c r="D624" i="4"/>
  <c r="A624" i="4"/>
  <c r="L624" i="4"/>
  <c r="K625" i="4" l="1"/>
  <c r="E626" i="4" s="1"/>
  <c r="J625" i="4"/>
  <c r="D625" i="4"/>
  <c r="O625" i="4"/>
  <c r="L625" i="4"/>
  <c r="G625" i="4"/>
  <c r="H625" i="4"/>
  <c r="B625" i="4"/>
  <c r="N625" i="4"/>
  <c r="C625" i="4"/>
  <c r="I625" i="4"/>
  <c r="M625" i="4"/>
  <c r="F625" i="4"/>
  <c r="A625" i="4"/>
  <c r="D986" i="4"/>
  <c r="H986" i="4"/>
  <c r="O986" i="4"/>
  <c r="M986" i="4"/>
  <c r="J986" i="4"/>
  <c r="I986" i="4"/>
  <c r="N986" i="4"/>
  <c r="A986" i="4"/>
  <c r="K986" i="4"/>
  <c r="E987" i="4" s="1"/>
  <c r="L986" i="4"/>
  <c r="C986" i="4"/>
  <c r="B986" i="4"/>
  <c r="G986" i="4"/>
  <c r="F986" i="4"/>
  <c r="I987" i="4" l="1"/>
  <c r="H987" i="4"/>
  <c r="F987" i="4"/>
  <c r="A987" i="4"/>
  <c r="N987" i="4"/>
  <c r="L987" i="4"/>
  <c r="D987" i="4"/>
  <c r="M987" i="4"/>
  <c r="J987" i="4"/>
  <c r="C987" i="4"/>
  <c r="O987" i="4"/>
  <c r="K987" i="4"/>
  <c r="E988" i="4" s="1"/>
  <c r="G987" i="4"/>
  <c r="B987" i="4"/>
  <c r="D626" i="4"/>
  <c r="F626" i="4"/>
  <c r="O626" i="4"/>
  <c r="L626" i="4"/>
  <c r="J626" i="4"/>
  <c r="G626" i="4"/>
  <c r="N626" i="4"/>
  <c r="M626" i="4"/>
  <c r="K626" i="4"/>
  <c r="E627" i="4" s="1"/>
  <c r="I626" i="4"/>
  <c r="C626" i="4"/>
  <c r="A626" i="4"/>
  <c r="H626" i="4"/>
  <c r="B626" i="4"/>
  <c r="J988" i="4" l="1"/>
  <c r="F988" i="4"/>
  <c r="H988" i="4"/>
  <c r="G988" i="4"/>
  <c r="C988" i="4"/>
  <c r="B988" i="4"/>
  <c r="L988" i="4"/>
  <c r="I988" i="4"/>
  <c r="M988" i="4"/>
  <c r="K988" i="4"/>
  <c r="E989" i="4" s="1"/>
  <c r="A988" i="4"/>
  <c r="D988" i="4"/>
  <c r="O988" i="4"/>
  <c r="N988" i="4"/>
  <c r="I627" i="4"/>
  <c r="M627" i="4"/>
  <c r="H627" i="4"/>
  <c r="K627" i="4"/>
  <c r="E628" i="4" s="1"/>
  <c r="F627" i="4"/>
  <c r="D627" i="4"/>
  <c r="B627" i="4"/>
  <c r="C627" i="4"/>
  <c r="G627" i="4"/>
  <c r="A627" i="4"/>
  <c r="O627" i="4"/>
  <c r="L627" i="4"/>
  <c r="J627" i="4"/>
  <c r="N627" i="4"/>
  <c r="N989" i="4" l="1"/>
  <c r="G989" i="4"/>
  <c r="L989" i="4"/>
  <c r="M989" i="4"/>
  <c r="C989" i="4"/>
  <c r="B989" i="4"/>
  <c r="O989" i="4"/>
  <c r="D989" i="4"/>
  <c r="H989" i="4"/>
  <c r="A989" i="4"/>
  <c r="J989" i="4"/>
  <c r="F989" i="4"/>
  <c r="K989" i="4"/>
  <c r="E990" i="4" s="1"/>
  <c r="I989" i="4"/>
  <c r="K628" i="4"/>
  <c r="E629" i="4" s="1"/>
  <c r="J628" i="4"/>
  <c r="B628" i="4"/>
  <c r="G628" i="4"/>
  <c r="I628" i="4"/>
  <c r="A628" i="4"/>
  <c r="F628" i="4"/>
  <c r="O628" i="4"/>
  <c r="N628" i="4"/>
  <c r="H628" i="4"/>
  <c r="D628" i="4"/>
  <c r="M628" i="4"/>
  <c r="C628" i="4"/>
  <c r="L628" i="4"/>
  <c r="K990" i="4" l="1"/>
  <c r="E991" i="4" s="1"/>
  <c r="I990" i="4"/>
  <c r="G990" i="4"/>
  <c r="F990" i="4"/>
  <c r="J990" i="4"/>
  <c r="H990" i="4"/>
  <c r="A990" i="4"/>
  <c r="M990" i="4"/>
  <c r="C990" i="4"/>
  <c r="B990" i="4"/>
  <c r="O990" i="4"/>
  <c r="D990" i="4"/>
  <c r="N990" i="4"/>
  <c r="L990" i="4"/>
  <c r="I629" i="4"/>
  <c r="J629" i="4"/>
  <c r="O629" i="4"/>
  <c r="A629" i="4"/>
  <c r="D629" i="4"/>
  <c r="C629" i="4"/>
  <c r="M629" i="4"/>
  <c r="K629" i="4"/>
  <c r="E630" i="4" s="1"/>
  <c r="G629" i="4"/>
  <c r="F629" i="4"/>
  <c r="B629" i="4"/>
  <c r="H629" i="4"/>
  <c r="L629" i="4"/>
  <c r="N629" i="4"/>
  <c r="N630" i="4" l="1"/>
  <c r="F630" i="4"/>
  <c r="M630" i="4"/>
  <c r="G630" i="4"/>
  <c r="D630" i="4"/>
  <c r="H630" i="4"/>
  <c r="B630" i="4"/>
  <c r="O630" i="4"/>
  <c r="K630" i="4"/>
  <c r="E631" i="4" s="1"/>
  <c r="I630" i="4"/>
  <c r="C630" i="4"/>
  <c r="A630" i="4"/>
  <c r="L630" i="4"/>
  <c r="J630" i="4"/>
  <c r="J991" i="4"/>
  <c r="H991" i="4"/>
  <c r="I991" i="4"/>
  <c r="A991" i="4"/>
  <c r="O991" i="4"/>
  <c r="N991" i="4"/>
  <c r="L991" i="4"/>
  <c r="C991" i="4"/>
  <c r="B991" i="4"/>
  <c r="G991" i="4"/>
  <c r="M991" i="4"/>
  <c r="D991" i="4"/>
  <c r="K991" i="4"/>
  <c r="E992" i="4" s="1"/>
  <c r="F991" i="4"/>
  <c r="I992" i="4" l="1"/>
  <c r="K992" i="4"/>
  <c r="E993" i="4" s="1"/>
  <c r="J992" i="4"/>
  <c r="O992" i="4"/>
  <c r="F992" i="4"/>
  <c r="G992" i="4"/>
  <c r="M992" i="4"/>
  <c r="D992" i="4"/>
  <c r="B992" i="4"/>
  <c r="N992" i="4"/>
  <c r="H992" i="4"/>
  <c r="C992" i="4"/>
  <c r="A992" i="4"/>
  <c r="L992" i="4"/>
  <c r="I631" i="4"/>
  <c r="O631" i="4"/>
  <c r="A631" i="4"/>
  <c r="J631" i="4"/>
  <c r="C631" i="4"/>
  <c r="B631" i="4"/>
  <c r="H631" i="4"/>
  <c r="N631" i="4"/>
  <c r="K631" i="4"/>
  <c r="E632" i="4" s="1"/>
  <c r="M631" i="4"/>
  <c r="F631" i="4"/>
  <c r="G631" i="4"/>
  <c r="D631" i="4"/>
  <c r="L631" i="4"/>
  <c r="M632" i="4" l="1"/>
  <c r="K632" i="4"/>
  <c r="E633" i="4" s="1"/>
  <c r="J632" i="4"/>
  <c r="I632" i="4"/>
  <c r="L632" i="4"/>
  <c r="D632" i="4"/>
  <c r="A632" i="4"/>
  <c r="N632" i="4"/>
  <c r="H632" i="4"/>
  <c r="G632" i="4"/>
  <c r="F632" i="4"/>
  <c r="C632" i="4"/>
  <c r="B632" i="4"/>
  <c r="O632" i="4"/>
  <c r="H993" i="4"/>
  <c r="F993" i="4"/>
  <c r="L993" i="4"/>
  <c r="D993" i="4"/>
  <c r="O993" i="4"/>
  <c r="I993" i="4"/>
  <c r="G993" i="4"/>
  <c r="C993" i="4"/>
  <c r="M993" i="4"/>
  <c r="J993" i="4"/>
  <c r="K993" i="4"/>
  <c r="E994" i="4" s="1"/>
  <c r="B993" i="4"/>
  <c r="A993" i="4"/>
  <c r="N993" i="4"/>
  <c r="G994" i="4" l="1"/>
  <c r="L994" i="4"/>
  <c r="C994" i="4"/>
  <c r="N994" i="4"/>
  <c r="B994" i="4"/>
  <c r="M994" i="4"/>
  <c r="I994" i="4"/>
  <c r="K994" i="4"/>
  <c r="E995" i="4" s="1"/>
  <c r="D994" i="4"/>
  <c r="O994" i="4"/>
  <c r="F994" i="4"/>
  <c r="J994" i="4"/>
  <c r="H994" i="4"/>
  <c r="A994" i="4"/>
  <c r="N633" i="4"/>
  <c r="D633" i="4"/>
  <c r="B633" i="4"/>
  <c r="A633" i="4"/>
  <c r="O633" i="4"/>
  <c r="L633" i="4"/>
  <c r="F633" i="4"/>
  <c r="H633" i="4"/>
  <c r="J633" i="4"/>
  <c r="C633" i="4"/>
  <c r="K633" i="4"/>
  <c r="E634" i="4" s="1"/>
  <c r="M633" i="4"/>
  <c r="G633" i="4"/>
  <c r="I633" i="4"/>
  <c r="I634" i="4" l="1"/>
  <c r="H634" i="4"/>
  <c r="J634" i="4"/>
  <c r="C634" i="4"/>
  <c r="B634" i="4"/>
  <c r="F634" i="4"/>
  <c r="A634" i="4"/>
  <c r="N634" i="4"/>
  <c r="G634" i="4"/>
  <c r="D634" i="4"/>
  <c r="O634" i="4"/>
  <c r="K634" i="4"/>
  <c r="E635" i="4" s="1"/>
  <c r="M634" i="4"/>
  <c r="L634" i="4"/>
  <c r="F995" i="4"/>
  <c r="O995" i="4"/>
  <c r="G995" i="4"/>
  <c r="D995" i="4"/>
  <c r="N995" i="4"/>
  <c r="M995" i="4"/>
  <c r="J995" i="4"/>
  <c r="L995" i="4"/>
  <c r="I995" i="4"/>
  <c r="K995" i="4"/>
  <c r="E996" i="4" s="1"/>
  <c r="H995" i="4"/>
  <c r="C995" i="4"/>
  <c r="B995" i="4"/>
  <c r="A995" i="4"/>
  <c r="I635" i="4" l="1"/>
  <c r="G635" i="4"/>
  <c r="F635" i="4"/>
  <c r="B635" i="4"/>
  <c r="M635" i="4"/>
  <c r="A635" i="4"/>
  <c r="N635" i="4"/>
  <c r="K635" i="4"/>
  <c r="E636" i="4" s="1"/>
  <c r="J635" i="4"/>
  <c r="D635" i="4"/>
  <c r="C635" i="4"/>
  <c r="H635" i="4"/>
  <c r="L635" i="4"/>
  <c r="O635" i="4"/>
  <c r="C996" i="4"/>
  <c r="O996" i="4"/>
  <c r="N996" i="4"/>
  <c r="M996" i="4"/>
  <c r="L996" i="4"/>
  <c r="H996" i="4"/>
  <c r="G996" i="4"/>
  <c r="D996" i="4"/>
  <c r="B996" i="4"/>
  <c r="F996" i="4"/>
  <c r="K996" i="4"/>
  <c r="E997" i="4" s="1"/>
  <c r="J996" i="4"/>
  <c r="A996" i="4"/>
  <c r="I996" i="4"/>
  <c r="I636" i="4" l="1"/>
  <c r="B636" i="4"/>
  <c r="A636" i="4"/>
  <c r="H636" i="4"/>
  <c r="F636" i="4"/>
  <c r="C636" i="4"/>
  <c r="N636" i="4"/>
  <c r="K636" i="4"/>
  <c r="E637" i="4" s="1"/>
  <c r="G636" i="4"/>
  <c r="L636" i="4"/>
  <c r="J636" i="4"/>
  <c r="D636" i="4"/>
  <c r="O636" i="4"/>
  <c r="M636" i="4"/>
  <c r="D997" i="4"/>
  <c r="B997" i="4"/>
  <c r="O997" i="4"/>
  <c r="M997" i="4"/>
  <c r="J997" i="4"/>
  <c r="C997" i="4"/>
  <c r="K997" i="4"/>
  <c r="E998" i="4" s="1"/>
  <c r="F997" i="4"/>
  <c r="A997" i="4"/>
  <c r="I997" i="4"/>
  <c r="L997" i="4"/>
  <c r="N997" i="4"/>
  <c r="H997" i="4"/>
  <c r="G997" i="4"/>
  <c r="L637" i="4" l="1"/>
  <c r="K637" i="4"/>
  <c r="E638" i="4" s="1"/>
  <c r="J637" i="4"/>
  <c r="N637" i="4"/>
  <c r="G637" i="4"/>
  <c r="H637" i="4"/>
  <c r="F637" i="4"/>
  <c r="D637" i="4"/>
  <c r="C637" i="4"/>
  <c r="I637" i="4"/>
  <c r="M637" i="4"/>
  <c r="B637" i="4"/>
  <c r="A637" i="4"/>
  <c r="O637" i="4"/>
  <c r="O998" i="4"/>
  <c r="B998" i="4"/>
  <c r="D998" i="4"/>
  <c r="J998" i="4"/>
  <c r="A998" i="4"/>
  <c r="K998" i="4"/>
  <c r="E999" i="4" s="1"/>
  <c r="H998" i="4"/>
  <c r="G998" i="4"/>
  <c r="C998" i="4"/>
  <c r="I998" i="4"/>
  <c r="M998" i="4"/>
  <c r="F998" i="4"/>
  <c r="N998" i="4"/>
  <c r="L998" i="4"/>
  <c r="B999" i="4" l="1"/>
  <c r="A999" i="4"/>
  <c r="N999" i="4"/>
  <c r="H999" i="4"/>
  <c r="J999" i="4"/>
  <c r="O999" i="4"/>
  <c r="L999" i="4"/>
  <c r="G999" i="4"/>
  <c r="M999" i="4"/>
  <c r="F999" i="4"/>
  <c r="C999" i="4"/>
  <c r="D999" i="4"/>
  <c r="I999" i="4"/>
  <c r="K999" i="4"/>
  <c r="E1000" i="4" s="1"/>
  <c r="L638" i="4"/>
  <c r="J638" i="4"/>
  <c r="H638" i="4"/>
  <c r="D638" i="4"/>
  <c r="B638" i="4"/>
  <c r="A638" i="4"/>
  <c r="I638" i="4"/>
  <c r="F638" i="4"/>
  <c r="G638" i="4"/>
  <c r="C638" i="4"/>
  <c r="O638" i="4"/>
  <c r="N638" i="4"/>
  <c r="M638" i="4"/>
  <c r="K638" i="4"/>
  <c r="E639" i="4" s="1"/>
  <c r="H639" i="4" l="1"/>
  <c r="G639" i="4"/>
  <c r="D639" i="4"/>
  <c r="J639" i="4"/>
  <c r="N639" i="4"/>
  <c r="C639" i="4"/>
  <c r="B639" i="4"/>
  <c r="A639" i="4"/>
  <c r="M639" i="4"/>
  <c r="F639" i="4"/>
  <c r="I639" i="4"/>
  <c r="O639" i="4"/>
  <c r="K639" i="4"/>
  <c r="E640" i="4" s="1"/>
  <c r="L639" i="4"/>
  <c r="O1000" i="4"/>
  <c r="N1000" i="4"/>
  <c r="M1000" i="4"/>
  <c r="G1000" i="4"/>
  <c r="L1000" i="4"/>
  <c r="K1000" i="4"/>
  <c r="E1001" i="4" s="1"/>
  <c r="H1000" i="4"/>
  <c r="C1000" i="4"/>
  <c r="A1000" i="4"/>
  <c r="J1000" i="4"/>
  <c r="F1000" i="4"/>
  <c r="B1000" i="4"/>
  <c r="I1000" i="4"/>
  <c r="D1000" i="4"/>
  <c r="J640" i="4" l="1"/>
  <c r="I640" i="4"/>
  <c r="F640" i="4"/>
  <c r="C640" i="4"/>
  <c r="B640" i="4"/>
  <c r="O640" i="4"/>
  <c r="M640" i="4"/>
  <c r="D640" i="4"/>
  <c r="G640" i="4"/>
  <c r="A640" i="4"/>
  <c r="L640" i="4"/>
  <c r="H640" i="4"/>
  <c r="K640" i="4"/>
  <c r="E641" i="4" s="1"/>
  <c r="N640" i="4"/>
  <c r="N1001" i="4"/>
  <c r="M1001" i="4"/>
  <c r="I1001" i="4"/>
  <c r="B1001" i="4"/>
  <c r="L1001" i="4"/>
  <c r="A1001" i="4"/>
  <c r="J1001" i="4"/>
  <c r="G1001" i="4"/>
  <c r="K1001" i="4"/>
  <c r="E1002" i="4" s="1"/>
  <c r="F1001" i="4"/>
  <c r="D1001" i="4"/>
  <c r="C1001" i="4"/>
  <c r="O1001" i="4"/>
  <c r="H1001" i="4"/>
  <c r="M1002" i="4" l="1"/>
  <c r="D1002" i="4"/>
  <c r="O1002" i="4"/>
  <c r="A1002" i="4"/>
  <c r="L1002" i="4"/>
  <c r="K1002" i="4"/>
  <c r="E1003" i="4" s="1"/>
  <c r="N1002" i="4"/>
  <c r="I1002" i="4"/>
  <c r="B1002" i="4"/>
  <c r="G1002" i="4"/>
  <c r="J1002" i="4"/>
  <c r="C1002" i="4"/>
  <c r="F1002" i="4"/>
  <c r="H1002" i="4"/>
  <c r="O641" i="4"/>
  <c r="L641" i="4"/>
  <c r="K641" i="4"/>
  <c r="E642" i="4" s="1"/>
  <c r="H641" i="4"/>
  <c r="F641" i="4"/>
  <c r="D641" i="4"/>
  <c r="B641" i="4"/>
  <c r="N641" i="4"/>
  <c r="J641" i="4"/>
  <c r="C641" i="4"/>
  <c r="A641" i="4"/>
  <c r="M641" i="4"/>
  <c r="I641" i="4"/>
  <c r="G641" i="4"/>
  <c r="K642" i="4" l="1"/>
  <c r="E643" i="4" s="1"/>
  <c r="H642" i="4"/>
  <c r="G642" i="4"/>
  <c r="F642" i="4"/>
  <c r="J642" i="4"/>
  <c r="I642" i="4"/>
  <c r="M642" i="4"/>
  <c r="L642" i="4"/>
  <c r="B642" i="4"/>
  <c r="C642" i="4"/>
  <c r="D642" i="4"/>
  <c r="A642" i="4"/>
  <c r="O642" i="4"/>
  <c r="N642" i="4"/>
  <c r="L1003" i="4"/>
  <c r="I1003" i="4"/>
  <c r="K1003" i="4"/>
  <c r="E1004" i="4" s="1"/>
  <c r="H1003" i="4"/>
  <c r="B1003" i="4"/>
  <c r="N1003" i="4"/>
  <c r="J1003" i="4"/>
  <c r="O1003" i="4"/>
  <c r="D1003" i="4"/>
  <c r="A1003" i="4"/>
  <c r="M1003" i="4"/>
  <c r="F1003" i="4"/>
  <c r="G1003" i="4"/>
  <c r="C1003" i="4"/>
  <c r="K1004" i="4" l="1"/>
  <c r="E1005" i="4" s="1"/>
  <c r="I1004" i="4"/>
  <c r="H1004" i="4"/>
  <c r="F1004" i="4"/>
  <c r="C1004" i="4"/>
  <c r="D1004" i="4"/>
  <c r="J1004" i="4"/>
  <c r="A1004" i="4"/>
  <c r="N1004" i="4"/>
  <c r="O1004" i="4"/>
  <c r="L1004" i="4"/>
  <c r="G1004" i="4"/>
  <c r="B1004" i="4"/>
  <c r="M1004" i="4"/>
  <c r="J643" i="4"/>
  <c r="L643" i="4"/>
  <c r="O643" i="4"/>
  <c r="H643" i="4"/>
  <c r="G643" i="4"/>
  <c r="C643" i="4"/>
  <c r="A643" i="4"/>
  <c r="B643" i="4"/>
  <c r="I643" i="4"/>
  <c r="M643" i="4"/>
  <c r="F643" i="4"/>
  <c r="D643" i="4"/>
  <c r="N643" i="4"/>
  <c r="K643" i="4"/>
  <c r="E644" i="4" s="1"/>
  <c r="N644" i="4" l="1"/>
  <c r="H644" i="4"/>
  <c r="G644" i="4"/>
  <c r="F644" i="4"/>
  <c r="D644" i="4"/>
  <c r="C644" i="4"/>
  <c r="M644" i="4"/>
  <c r="L644" i="4"/>
  <c r="K644" i="4"/>
  <c r="E645" i="4" s="1"/>
  <c r="I644" i="4"/>
  <c r="A644" i="4"/>
  <c r="B644" i="4"/>
  <c r="O644" i="4"/>
  <c r="J644" i="4"/>
  <c r="J1005" i="4"/>
  <c r="I1005" i="4"/>
  <c r="C1005" i="4"/>
  <c r="B1005" i="4"/>
  <c r="L1005" i="4"/>
  <c r="G1005" i="4"/>
  <c r="D1005" i="4"/>
  <c r="K1005" i="4"/>
  <c r="E1006" i="4" s="1"/>
  <c r="N1005" i="4"/>
  <c r="H1005" i="4"/>
  <c r="A1005" i="4"/>
  <c r="M1005" i="4"/>
  <c r="F1005" i="4"/>
  <c r="O1005" i="4"/>
  <c r="M645" i="4" l="1"/>
  <c r="H645" i="4"/>
  <c r="D645" i="4"/>
  <c r="B645" i="4"/>
  <c r="A645" i="4"/>
  <c r="N645" i="4"/>
  <c r="J645" i="4"/>
  <c r="G645" i="4"/>
  <c r="C645" i="4"/>
  <c r="I645" i="4"/>
  <c r="O645" i="4"/>
  <c r="F645" i="4"/>
  <c r="L645" i="4"/>
  <c r="K645" i="4"/>
  <c r="E646" i="4" s="1"/>
  <c r="I1006" i="4"/>
  <c r="H1006" i="4"/>
  <c r="D1006" i="4"/>
  <c r="F1006" i="4"/>
  <c r="C1006" i="4"/>
  <c r="O1006" i="4"/>
  <c r="L1006" i="4"/>
  <c r="K1006" i="4"/>
  <c r="E1007" i="4" s="1"/>
  <c r="A1006" i="4"/>
  <c r="M1006" i="4"/>
  <c r="G1006" i="4"/>
  <c r="J1006" i="4"/>
  <c r="N1006" i="4"/>
  <c r="B1006" i="4"/>
  <c r="L646" i="4" l="1"/>
  <c r="H646" i="4"/>
  <c r="G646" i="4"/>
  <c r="F646" i="4"/>
  <c r="D646" i="4"/>
  <c r="A646" i="4"/>
  <c r="K646" i="4"/>
  <c r="E647" i="4" s="1"/>
  <c r="I646" i="4"/>
  <c r="O646" i="4"/>
  <c r="J646" i="4"/>
  <c r="C646" i="4"/>
  <c r="B646" i="4"/>
  <c r="N646" i="4"/>
  <c r="M646" i="4"/>
  <c r="H1007" i="4"/>
  <c r="G1007" i="4"/>
  <c r="F1007" i="4"/>
  <c r="M1007" i="4"/>
  <c r="K1007" i="4"/>
  <c r="E1008" i="4" s="1"/>
  <c r="C1007" i="4"/>
  <c r="I1007" i="4"/>
  <c r="O1007" i="4"/>
  <c r="L1007" i="4"/>
  <c r="D1007" i="4"/>
  <c r="J1007" i="4"/>
  <c r="N1007" i="4"/>
  <c r="A1007" i="4"/>
  <c r="B1007" i="4"/>
  <c r="K647" i="4" l="1"/>
  <c r="E648" i="4" s="1"/>
  <c r="G647" i="4"/>
  <c r="O647" i="4"/>
  <c r="H647" i="4"/>
  <c r="F647" i="4"/>
  <c r="I647" i="4"/>
  <c r="M647" i="4"/>
  <c r="D647" i="4"/>
  <c r="C647" i="4"/>
  <c r="B647" i="4"/>
  <c r="A647" i="4"/>
  <c r="L647" i="4"/>
  <c r="N647" i="4"/>
  <c r="J647" i="4"/>
  <c r="G1008" i="4"/>
  <c r="K1008" i="4"/>
  <c r="E1009" i="4" s="1"/>
  <c r="I1008" i="4"/>
  <c r="M1008" i="4"/>
  <c r="F1008" i="4"/>
  <c r="J1008" i="4"/>
  <c r="C1008" i="4"/>
  <c r="N1008" i="4"/>
  <c r="L1008" i="4"/>
  <c r="A1008" i="4"/>
  <c r="D1008" i="4"/>
  <c r="B1008" i="4"/>
  <c r="O1008" i="4"/>
  <c r="H1008" i="4"/>
  <c r="F1009" i="4" l="1"/>
  <c r="D1009" i="4"/>
  <c r="N1009" i="4"/>
  <c r="M1009" i="4"/>
  <c r="L1009" i="4"/>
  <c r="B1009" i="4"/>
  <c r="K1009" i="4"/>
  <c r="E1010" i="4" s="1"/>
  <c r="G1009" i="4"/>
  <c r="J1009" i="4"/>
  <c r="I1009" i="4"/>
  <c r="C1009" i="4"/>
  <c r="A1009" i="4"/>
  <c r="O1009" i="4"/>
  <c r="H1009" i="4"/>
  <c r="J648" i="4"/>
  <c r="F648" i="4"/>
  <c r="B648" i="4"/>
  <c r="N648" i="4"/>
  <c r="I648" i="4"/>
  <c r="H648" i="4"/>
  <c r="C648" i="4"/>
  <c r="A648" i="4"/>
  <c r="M648" i="4"/>
  <c r="L648" i="4"/>
  <c r="K648" i="4"/>
  <c r="E649" i="4" s="1"/>
  <c r="G648" i="4"/>
  <c r="D648" i="4"/>
  <c r="O648" i="4"/>
  <c r="D1010" i="4" l="1"/>
  <c r="C1010" i="4"/>
  <c r="O1010" i="4"/>
  <c r="J1010" i="4"/>
  <c r="I1010" i="4"/>
  <c r="G1010" i="4"/>
  <c r="L1010" i="4"/>
  <c r="H1010" i="4"/>
  <c r="F1010" i="4"/>
  <c r="A1010" i="4"/>
  <c r="B1010" i="4"/>
  <c r="N1010" i="4"/>
  <c r="M1010" i="4"/>
  <c r="K1010" i="4"/>
  <c r="E1011" i="4" s="1"/>
  <c r="I649" i="4"/>
  <c r="G649" i="4"/>
  <c r="O649" i="4"/>
  <c r="H649" i="4"/>
  <c r="F649" i="4"/>
  <c r="D649" i="4"/>
  <c r="A649" i="4"/>
  <c r="M649" i="4"/>
  <c r="K649" i="4"/>
  <c r="E650" i="4" s="1"/>
  <c r="N649" i="4"/>
  <c r="C649" i="4"/>
  <c r="B649" i="4"/>
  <c r="J649" i="4"/>
  <c r="L649" i="4"/>
  <c r="H650" i="4" l="1"/>
  <c r="I650" i="4"/>
  <c r="G650" i="4"/>
  <c r="D650" i="4"/>
  <c r="C650" i="4"/>
  <c r="A650" i="4"/>
  <c r="K650" i="4"/>
  <c r="E651" i="4" s="1"/>
  <c r="F650" i="4"/>
  <c r="O650" i="4"/>
  <c r="B650" i="4"/>
  <c r="M650" i="4"/>
  <c r="J650" i="4"/>
  <c r="L650" i="4"/>
  <c r="N650" i="4"/>
  <c r="D1011" i="4"/>
  <c r="C1011" i="4"/>
  <c r="B1011" i="4"/>
  <c r="A1011" i="4"/>
  <c r="N1011" i="4"/>
  <c r="H1011" i="4"/>
  <c r="O1011" i="4"/>
  <c r="J1011" i="4"/>
  <c r="I1011" i="4"/>
  <c r="F1011" i="4"/>
  <c r="M1011" i="4"/>
  <c r="L1011" i="4"/>
  <c r="K1011" i="4"/>
  <c r="E1012" i="4" s="1"/>
  <c r="G1011" i="4"/>
  <c r="C1012" i="4" l="1"/>
  <c r="B1012" i="4"/>
  <c r="A1012" i="4"/>
  <c r="D1012" i="4"/>
  <c r="L1012" i="4"/>
  <c r="F1012" i="4"/>
  <c r="G1012" i="4"/>
  <c r="J1012" i="4"/>
  <c r="I1012" i="4"/>
  <c r="H1012" i="4"/>
  <c r="O1012" i="4"/>
  <c r="K1012" i="4"/>
  <c r="E1013" i="4" s="1"/>
  <c r="N1012" i="4"/>
  <c r="M1012" i="4"/>
  <c r="G651" i="4"/>
  <c r="H651" i="4"/>
  <c r="D651" i="4"/>
  <c r="K651" i="4"/>
  <c r="E652" i="4" s="1"/>
  <c r="I651" i="4"/>
  <c r="F651" i="4"/>
  <c r="A651" i="4"/>
  <c r="M651" i="4"/>
  <c r="J651" i="4"/>
  <c r="O651" i="4"/>
  <c r="C651" i="4"/>
  <c r="B651" i="4"/>
  <c r="N651" i="4"/>
  <c r="L651" i="4"/>
  <c r="B1013" i="4" l="1"/>
  <c r="O1013" i="4"/>
  <c r="A1013" i="4"/>
  <c r="N1013" i="4"/>
  <c r="J1013" i="4"/>
  <c r="H1013" i="4"/>
  <c r="G1013" i="4"/>
  <c r="D1013" i="4"/>
  <c r="C1013" i="4"/>
  <c r="F1013" i="4"/>
  <c r="M1013" i="4"/>
  <c r="K1013" i="4"/>
  <c r="E1014" i="4" s="1"/>
  <c r="I1013" i="4"/>
  <c r="L1013" i="4"/>
  <c r="F652" i="4"/>
  <c r="I652" i="4"/>
  <c r="B652" i="4"/>
  <c r="M652" i="4"/>
  <c r="H652" i="4"/>
  <c r="L652" i="4"/>
  <c r="G652" i="4"/>
  <c r="D652" i="4"/>
  <c r="A652" i="4"/>
  <c r="J652" i="4"/>
  <c r="N652" i="4"/>
  <c r="C652" i="4"/>
  <c r="O652" i="4"/>
  <c r="K652" i="4"/>
  <c r="E653" i="4" s="1"/>
  <c r="O1014" i="4" l="1"/>
  <c r="A1014" i="4"/>
  <c r="M1014" i="4"/>
  <c r="L1014" i="4"/>
  <c r="H1014" i="4"/>
  <c r="N1014" i="4"/>
  <c r="J1014" i="4"/>
  <c r="K1014" i="4"/>
  <c r="E1015" i="4" s="1"/>
  <c r="F1014" i="4"/>
  <c r="I1014" i="4"/>
  <c r="B1014" i="4"/>
  <c r="G1014" i="4"/>
  <c r="D1014" i="4"/>
  <c r="C1014" i="4"/>
  <c r="I653" i="4"/>
  <c r="A653" i="4"/>
  <c r="O653" i="4"/>
  <c r="N653" i="4"/>
  <c r="M653" i="4"/>
  <c r="L653" i="4"/>
  <c r="J653" i="4"/>
  <c r="H653" i="4"/>
  <c r="K653" i="4"/>
  <c r="E654" i="4" s="1"/>
  <c r="G653" i="4"/>
  <c r="F653" i="4"/>
  <c r="C653" i="4"/>
  <c r="B653" i="4"/>
  <c r="D653" i="4"/>
  <c r="N1015" i="4" l="1"/>
  <c r="O1015" i="4"/>
  <c r="K1015" i="4"/>
  <c r="E1016" i="4" s="1"/>
  <c r="H1015" i="4"/>
  <c r="M1015" i="4"/>
  <c r="B1015" i="4"/>
  <c r="A1015" i="4"/>
  <c r="G1015" i="4"/>
  <c r="L1015" i="4"/>
  <c r="F1015" i="4"/>
  <c r="D1015" i="4"/>
  <c r="I1015" i="4"/>
  <c r="C1015" i="4"/>
  <c r="J1015" i="4"/>
  <c r="D654" i="4"/>
  <c r="I654" i="4"/>
  <c r="H654" i="4"/>
  <c r="G654" i="4"/>
  <c r="C654" i="4"/>
  <c r="B654" i="4"/>
  <c r="O654" i="4"/>
  <c r="M654" i="4"/>
  <c r="K654" i="4"/>
  <c r="E655" i="4" s="1"/>
  <c r="F654" i="4"/>
  <c r="A654" i="4"/>
  <c r="N654" i="4"/>
  <c r="L654" i="4"/>
  <c r="J654" i="4"/>
  <c r="C655" i="4" l="1"/>
  <c r="D655" i="4"/>
  <c r="B655" i="4"/>
  <c r="A655" i="4"/>
  <c r="K655" i="4"/>
  <c r="E656" i="4" s="1"/>
  <c r="L655" i="4"/>
  <c r="I655" i="4"/>
  <c r="H655" i="4"/>
  <c r="F655" i="4"/>
  <c r="M655" i="4"/>
  <c r="G655" i="4"/>
  <c r="O655" i="4"/>
  <c r="J655" i="4"/>
  <c r="N655" i="4"/>
  <c r="O1016" i="4"/>
  <c r="A1016" i="4"/>
  <c r="N1016" i="4"/>
  <c r="M1016" i="4"/>
  <c r="H1016" i="4"/>
  <c r="I1016" i="4"/>
  <c r="B1016" i="4"/>
  <c r="D1016" i="4"/>
  <c r="C1016" i="4"/>
  <c r="L1016" i="4"/>
  <c r="G1016" i="4"/>
  <c r="K1016" i="4"/>
  <c r="E1017" i="4" s="1"/>
  <c r="J1016" i="4"/>
  <c r="F1016" i="4"/>
  <c r="N1017" i="4" l="1"/>
  <c r="O1017" i="4"/>
  <c r="M1017" i="4"/>
  <c r="H1017" i="4"/>
  <c r="G1017" i="4"/>
  <c r="F1017" i="4"/>
  <c r="K1017" i="4"/>
  <c r="E1018" i="4" s="1"/>
  <c r="A1017" i="4"/>
  <c r="L1017" i="4"/>
  <c r="J1017" i="4"/>
  <c r="I1017" i="4"/>
  <c r="D1017" i="4"/>
  <c r="C1017" i="4"/>
  <c r="B1017" i="4"/>
  <c r="B656" i="4"/>
  <c r="H656" i="4"/>
  <c r="D656" i="4"/>
  <c r="C656" i="4"/>
  <c r="A656" i="4"/>
  <c r="N656" i="4"/>
  <c r="M656" i="4"/>
  <c r="I656" i="4"/>
  <c r="F656" i="4"/>
  <c r="O656" i="4"/>
  <c r="L656" i="4"/>
  <c r="G656" i="4"/>
  <c r="K656" i="4"/>
  <c r="E657" i="4" s="1"/>
  <c r="J656" i="4"/>
  <c r="O657" i="4" l="1"/>
  <c r="B657" i="4"/>
  <c r="K657" i="4"/>
  <c r="E658" i="4" s="1"/>
  <c r="A657" i="4"/>
  <c r="G657" i="4"/>
  <c r="D657" i="4"/>
  <c r="M657" i="4"/>
  <c r="I657" i="4"/>
  <c r="F657" i="4"/>
  <c r="J657" i="4"/>
  <c r="H657" i="4"/>
  <c r="C657" i="4"/>
  <c r="N657" i="4"/>
  <c r="L657" i="4"/>
  <c r="M1018" i="4"/>
  <c r="K1018" i="4"/>
  <c r="E1019" i="4" s="1"/>
  <c r="I1018" i="4"/>
  <c r="D1018" i="4"/>
  <c r="O1018" i="4"/>
  <c r="L1018" i="4"/>
  <c r="G1018" i="4"/>
  <c r="J1018" i="4"/>
  <c r="H1018" i="4"/>
  <c r="C1018" i="4"/>
  <c r="N1018" i="4"/>
  <c r="F1018" i="4"/>
  <c r="A1018" i="4"/>
  <c r="B1018" i="4"/>
  <c r="N658" i="4" l="1"/>
  <c r="H658" i="4"/>
  <c r="G658" i="4"/>
  <c r="D658" i="4"/>
  <c r="L658" i="4"/>
  <c r="I658" i="4"/>
  <c r="C658" i="4"/>
  <c r="A658" i="4"/>
  <c r="O658" i="4"/>
  <c r="F658" i="4"/>
  <c r="B658" i="4"/>
  <c r="J658" i="4"/>
  <c r="M658" i="4"/>
  <c r="K658" i="4"/>
  <c r="E659" i="4" s="1"/>
  <c r="L1019" i="4"/>
  <c r="O1019" i="4"/>
  <c r="N1019" i="4"/>
  <c r="M1019" i="4"/>
  <c r="J1019" i="4"/>
  <c r="I1019" i="4"/>
  <c r="D1019" i="4"/>
  <c r="F1019" i="4"/>
  <c r="G1019" i="4"/>
  <c r="K1019" i="4"/>
  <c r="E1020" i="4" s="1"/>
  <c r="C1019" i="4"/>
  <c r="B1019" i="4"/>
  <c r="H1019" i="4"/>
  <c r="A1019" i="4"/>
  <c r="K1020" i="4" l="1"/>
  <c r="E1021" i="4" s="1"/>
  <c r="G1020" i="4"/>
  <c r="O1020" i="4"/>
  <c r="M1020" i="4"/>
  <c r="I1020" i="4"/>
  <c r="H1020" i="4"/>
  <c r="A1020" i="4"/>
  <c r="B1020" i="4"/>
  <c r="N1020" i="4"/>
  <c r="L1020" i="4"/>
  <c r="J1020" i="4"/>
  <c r="F1020" i="4"/>
  <c r="D1020" i="4"/>
  <c r="C1020" i="4"/>
  <c r="M659" i="4"/>
  <c r="I659" i="4"/>
  <c r="H659" i="4"/>
  <c r="N659" i="4"/>
  <c r="G659" i="4"/>
  <c r="D659" i="4"/>
  <c r="J659" i="4"/>
  <c r="F659" i="4"/>
  <c r="B659" i="4"/>
  <c r="O659" i="4"/>
  <c r="K659" i="4"/>
  <c r="E660" i="4" s="1"/>
  <c r="C659" i="4"/>
  <c r="A659" i="4"/>
  <c r="L659" i="4"/>
  <c r="L660" i="4" l="1"/>
  <c r="H660" i="4"/>
  <c r="G660" i="4"/>
  <c r="C660" i="4"/>
  <c r="J660" i="4"/>
  <c r="I660" i="4"/>
  <c r="F660" i="4"/>
  <c r="D660" i="4"/>
  <c r="N660" i="4"/>
  <c r="B660" i="4"/>
  <c r="A660" i="4"/>
  <c r="O660" i="4"/>
  <c r="M660" i="4"/>
  <c r="K660" i="4"/>
  <c r="E661" i="4" s="1"/>
  <c r="J1021" i="4"/>
  <c r="O1021" i="4"/>
  <c r="N1021" i="4"/>
  <c r="M1021" i="4"/>
  <c r="B1021" i="4"/>
  <c r="A1021" i="4"/>
  <c r="G1021" i="4"/>
  <c r="F1021" i="4"/>
  <c r="C1021" i="4"/>
  <c r="L1021" i="4"/>
  <c r="K1021" i="4"/>
  <c r="E1022" i="4" s="1"/>
  <c r="D1021" i="4"/>
  <c r="I1021" i="4"/>
  <c r="H1021" i="4"/>
  <c r="I1022" i="4" l="1"/>
  <c r="O1022" i="4"/>
  <c r="N1022" i="4"/>
  <c r="A1022" i="4"/>
  <c r="K1022" i="4"/>
  <c r="E1023" i="4" s="1"/>
  <c r="H1022" i="4"/>
  <c r="F1022" i="4"/>
  <c r="M1022" i="4"/>
  <c r="C1022" i="4"/>
  <c r="D1022" i="4"/>
  <c r="B1022" i="4"/>
  <c r="L1022" i="4"/>
  <c r="J1022" i="4"/>
  <c r="G1022" i="4"/>
  <c r="K661" i="4"/>
  <c r="E662" i="4" s="1"/>
  <c r="I661" i="4"/>
  <c r="H661" i="4"/>
  <c r="G661" i="4"/>
  <c r="D661" i="4"/>
  <c r="A661" i="4"/>
  <c r="C661" i="4"/>
  <c r="B661" i="4"/>
  <c r="O661" i="4"/>
  <c r="L661" i="4"/>
  <c r="F661" i="4"/>
  <c r="N661" i="4"/>
  <c r="M661" i="4"/>
  <c r="J661" i="4"/>
  <c r="H1023" i="4" l="1"/>
  <c r="O1023" i="4"/>
  <c r="N1023" i="4"/>
  <c r="M1023" i="4"/>
  <c r="I1023" i="4"/>
  <c r="J1023" i="4"/>
  <c r="C1023" i="4"/>
  <c r="B1023" i="4"/>
  <c r="K1023" i="4"/>
  <c r="E1024" i="4" s="1"/>
  <c r="F1023" i="4"/>
  <c r="A1023" i="4"/>
  <c r="L1023" i="4"/>
  <c r="G1023" i="4"/>
  <c r="D1023" i="4"/>
  <c r="J662" i="4"/>
  <c r="G662" i="4"/>
  <c r="F662" i="4"/>
  <c r="A662" i="4"/>
  <c r="N662" i="4"/>
  <c r="K662" i="4"/>
  <c r="E663" i="4" s="1"/>
  <c r="I662" i="4"/>
  <c r="H662" i="4"/>
  <c r="O662" i="4"/>
  <c r="C662" i="4"/>
  <c r="M662" i="4"/>
  <c r="D662" i="4"/>
  <c r="B662" i="4"/>
  <c r="L662" i="4"/>
  <c r="G1024" i="4" l="1"/>
  <c r="O1024" i="4"/>
  <c r="N1024" i="4"/>
  <c r="M1024" i="4"/>
  <c r="L1024" i="4"/>
  <c r="K1024" i="4"/>
  <c r="E1025" i="4" s="1"/>
  <c r="A1024" i="4"/>
  <c r="B1024" i="4"/>
  <c r="I1024" i="4"/>
  <c r="F1024" i="4"/>
  <c r="C1024" i="4"/>
  <c r="D1024" i="4"/>
  <c r="H1024" i="4"/>
  <c r="J1024" i="4"/>
  <c r="I663" i="4"/>
  <c r="H663" i="4"/>
  <c r="B663" i="4"/>
  <c r="A663" i="4"/>
  <c r="M663" i="4"/>
  <c r="K663" i="4"/>
  <c r="E664" i="4" s="1"/>
  <c r="J663" i="4"/>
  <c r="F663" i="4"/>
  <c r="O663" i="4"/>
  <c r="C663" i="4"/>
  <c r="G663" i="4"/>
  <c r="D663" i="4"/>
  <c r="N663" i="4"/>
  <c r="L663" i="4"/>
  <c r="F1025" i="4" l="1"/>
  <c r="C1025" i="4"/>
  <c r="I1025" i="4"/>
  <c r="O1025" i="4"/>
  <c r="N1025" i="4"/>
  <c r="K1025" i="4"/>
  <c r="E1026" i="4" s="1"/>
  <c r="D1025" i="4"/>
  <c r="B1025" i="4"/>
  <c r="L1025" i="4"/>
  <c r="J1025" i="4"/>
  <c r="A1025" i="4"/>
  <c r="M1025" i="4"/>
  <c r="G1025" i="4"/>
  <c r="H1025" i="4"/>
  <c r="H664" i="4"/>
  <c r="J664" i="4"/>
  <c r="I664" i="4"/>
  <c r="F664" i="4"/>
  <c r="D664" i="4"/>
  <c r="M664" i="4"/>
  <c r="G664" i="4"/>
  <c r="C664" i="4"/>
  <c r="A664" i="4"/>
  <c r="L664" i="4"/>
  <c r="O664" i="4"/>
  <c r="B664" i="4"/>
  <c r="N664" i="4"/>
  <c r="K664" i="4"/>
  <c r="E665" i="4" s="1"/>
  <c r="O1026" i="4" l="1"/>
  <c r="D8" i="3" s="1"/>
  <c r="N1026" i="4"/>
  <c r="D7" i="3" s="1"/>
  <c r="M1026" i="4"/>
  <c r="C1026" i="4"/>
  <c r="B1026" i="4"/>
  <c r="G1026" i="4"/>
  <c r="F1026" i="4"/>
  <c r="H1026" i="4"/>
  <c r="D9" i="3" s="1"/>
  <c r="J1026" i="4"/>
  <c r="D10" i="3" s="1"/>
  <c r="I1026" i="4"/>
  <c r="B32" i="3" s="1"/>
  <c r="D32" i="3" s="1"/>
  <c r="F32" i="3" s="1"/>
  <c r="A1026" i="4"/>
  <c r="L1026" i="4"/>
  <c r="K1026" i="4"/>
  <c r="D1026" i="4"/>
  <c r="G665" i="4"/>
  <c r="J665" i="4"/>
  <c r="D665" i="4"/>
  <c r="C665" i="4"/>
  <c r="B665" i="4"/>
  <c r="O665" i="4"/>
  <c r="N665" i="4"/>
  <c r="I665" i="4"/>
  <c r="H665" i="4"/>
  <c r="F665" i="4"/>
  <c r="A665" i="4"/>
  <c r="M665" i="4"/>
  <c r="L665" i="4"/>
  <c r="K665" i="4"/>
  <c r="E666" i="4" s="1"/>
  <c r="F666" i="4" l="1"/>
  <c r="J666" i="4"/>
  <c r="D666" i="4"/>
  <c r="C666" i="4"/>
  <c r="K666" i="4"/>
  <c r="E667" i="4" s="1"/>
  <c r="N666" i="4"/>
  <c r="I666" i="4"/>
  <c r="G666" i="4"/>
  <c r="A666" i="4"/>
  <c r="M666" i="4"/>
  <c r="L666" i="4"/>
  <c r="H666" i="4"/>
  <c r="B666" i="4"/>
  <c r="O666" i="4"/>
  <c r="B19" i="3"/>
  <c r="D12" i="3"/>
  <c r="B20" i="3" s="1"/>
  <c r="B36" i="3"/>
  <c r="D36" i="3" s="1"/>
  <c r="F36" i="3" s="1"/>
  <c r="D11" i="3"/>
  <c r="D13" i="3"/>
  <c r="B18" i="3"/>
  <c r="N667" i="4" l="1"/>
  <c r="K667" i="4"/>
  <c r="E668" i="4" s="1"/>
  <c r="J667" i="4"/>
  <c r="I667" i="4"/>
  <c r="H667" i="4"/>
  <c r="F667" i="4"/>
  <c r="D667" i="4"/>
  <c r="A667" i="4"/>
  <c r="L667" i="4"/>
  <c r="G667" i="4"/>
  <c r="C667" i="4"/>
  <c r="B667" i="4"/>
  <c r="M667" i="4"/>
  <c r="O667" i="4"/>
  <c r="D668" i="4" l="1"/>
  <c r="N668" i="4"/>
  <c r="L668" i="4"/>
  <c r="C668" i="4"/>
  <c r="O668" i="4"/>
  <c r="M668" i="4"/>
  <c r="B668" i="4"/>
  <c r="K668" i="4"/>
  <c r="E669" i="4" s="1"/>
  <c r="I668" i="4"/>
  <c r="H668" i="4"/>
  <c r="G668" i="4"/>
  <c r="J668" i="4"/>
  <c r="F668" i="4"/>
  <c r="A668" i="4"/>
  <c r="C669" i="4" l="1"/>
  <c r="N669" i="4"/>
  <c r="L669" i="4"/>
  <c r="J669" i="4"/>
  <c r="H669" i="4"/>
  <c r="A669" i="4"/>
  <c r="D669" i="4"/>
  <c r="O669" i="4"/>
  <c r="M669" i="4"/>
  <c r="I669" i="4"/>
  <c r="G669" i="4"/>
  <c r="K669" i="4"/>
  <c r="E670" i="4" s="1"/>
  <c r="F669" i="4"/>
  <c r="B669" i="4"/>
  <c r="B670" i="4" l="1"/>
  <c r="D670" i="4"/>
  <c r="O670" i="4"/>
  <c r="A670" i="4"/>
  <c r="N670" i="4"/>
  <c r="L670" i="4"/>
  <c r="K670" i="4"/>
  <c r="E671" i="4" s="1"/>
  <c r="J670" i="4"/>
  <c r="G670" i="4"/>
  <c r="M670" i="4"/>
  <c r="I670" i="4"/>
  <c r="H670" i="4"/>
  <c r="F670" i="4"/>
  <c r="C670" i="4"/>
  <c r="O671" i="4" l="1"/>
  <c r="F671" i="4"/>
  <c r="N671" i="4"/>
  <c r="G671" i="4"/>
  <c r="A671" i="4"/>
  <c r="B671" i="4"/>
  <c r="C671" i="4"/>
  <c r="H671" i="4"/>
  <c r="D671" i="4"/>
  <c r="L671" i="4"/>
  <c r="J671" i="4"/>
  <c r="M671" i="4"/>
  <c r="K671" i="4"/>
  <c r="E672" i="4" s="1"/>
  <c r="I671" i="4"/>
  <c r="N672" i="4" l="1"/>
  <c r="I672" i="4"/>
  <c r="H672" i="4"/>
  <c r="G672" i="4"/>
  <c r="A672" i="4"/>
  <c r="O672" i="4"/>
  <c r="D672" i="4"/>
  <c r="C672" i="4"/>
  <c r="F672" i="4"/>
  <c r="J672" i="4"/>
  <c r="B672" i="4"/>
  <c r="M672" i="4"/>
  <c r="L672" i="4"/>
  <c r="K672" i="4"/>
  <c r="E673" i="4" s="1"/>
  <c r="M673" i="4" l="1"/>
  <c r="D673" i="4"/>
  <c r="L673" i="4"/>
  <c r="J673" i="4"/>
  <c r="H673" i="4"/>
  <c r="F673" i="4"/>
  <c r="A673" i="4"/>
  <c r="K673" i="4"/>
  <c r="E674" i="4" s="1"/>
  <c r="I673" i="4"/>
  <c r="G673" i="4"/>
  <c r="N673" i="4"/>
  <c r="C673" i="4"/>
  <c r="B673" i="4"/>
  <c r="O673" i="4"/>
  <c r="L674" i="4" l="1"/>
  <c r="M674" i="4"/>
  <c r="I674" i="4"/>
  <c r="G674" i="4"/>
  <c r="C674" i="4"/>
  <c r="D674" i="4"/>
  <c r="F674" i="4"/>
  <c r="N674" i="4"/>
  <c r="J674" i="4"/>
  <c r="H674" i="4"/>
  <c r="B674" i="4"/>
  <c r="O674" i="4"/>
  <c r="K674" i="4"/>
  <c r="E675" i="4" s="1"/>
  <c r="A674" i="4"/>
  <c r="K675" i="4" l="1"/>
  <c r="E676" i="4" s="1"/>
  <c r="D675" i="4"/>
  <c r="G675" i="4"/>
  <c r="F675" i="4"/>
  <c r="A675" i="4"/>
  <c r="O675" i="4"/>
  <c r="M675" i="4"/>
  <c r="J675" i="4"/>
  <c r="C675" i="4"/>
  <c r="B675" i="4"/>
  <c r="L675" i="4"/>
  <c r="H675" i="4"/>
  <c r="N675" i="4"/>
  <c r="I675" i="4"/>
  <c r="J676" i="4" l="1"/>
  <c r="D676" i="4"/>
  <c r="H676" i="4"/>
  <c r="G676" i="4"/>
  <c r="C676" i="4"/>
  <c r="F676" i="4"/>
  <c r="N676" i="4"/>
  <c r="M676" i="4"/>
  <c r="B676" i="4"/>
  <c r="I676" i="4"/>
  <c r="K676" i="4"/>
  <c r="E677" i="4" s="1"/>
  <c r="A676" i="4"/>
  <c r="O676" i="4"/>
  <c r="L676" i="4"/>
  <c r="I677" i="4" l="1"/>
  <c r="D677" i="4"/>
  <c r="J677" i="4"/>
  <c r="H677" i="4"/>
  <c r="K677" i="4"/>
  <c r="E678" i="4" s="1"/>
  <c r="G677" i="4"/>
  <c r="F677" i="4"/>
  <c r="C677" i="4"/>
  <c r="M677" i="4"/>
  <c r="B677" i="4"/>
  <c r="A677" i="4"/>
  <c r="N677" i="4"/>
  <c r="L677" i="4"/>
  <c r="O677" i="4"/>
  <c r="H678" i="4" l="1"/>
  <c r="J678" i="4"/>
  <c r="G678" i="4"/>
  <c r="F678" i="4"/>
  <c r="D678" i="4"/>
  <c r="N678" i="4"/>
  <c r="L678" i="4"/>
  <c r="K678" i="4"/>
  <c r="E679" i="4" s="1"/>
  <c r="M678" i="4"/>
  <c r="C678" i="4"/>
  <c r="A678" i="4"/>
  <c r="I678" i="4"/>
  <c r="B678" i="4"/>
  <c r="O678" i="4"/>
  <c r="G679" i="4" l="1"/>
  <c r="O679" i="4"/>
  <c r="I679" i="4"/>
  <c r="F679" i="4"/>
  <c r="A679" i="4"/>
  <c r="D679" i="4"/>
  <c r="K679" i="4"/>
  <c r="E680" i="4" s="1"/>
  <c r="N679" i="4"/>
  <c r="J679" i="4"/>
  <c r="H679" i="4"/>
  <c r="C679" i="4"/>
  <c r="B679" i="4"/>
  <c r="L679" i="4"/>
  <c r="M679" i="4"/>
  <c r="F680" i="4" l="1"/>
  <c r="D680" i="4"/>
  <c r="M680" i="4"/>
  <c r="L680" i="4"/>
  <c r="B680" i="4"/>
  <c r="A680" i="4"/>
  <c r="J680" i="4"/>
  <c r="C680" i="4"/>
  <c r="G680" i="4"/>
  <c r="O680" i="4"/>
  <c r="I680" i="4"/>
  <c r="N680" i="4"/>
  <c r="K680" i="4"/>
  <c r="E681" i="4" s="1"/>
  <c r="H680" i="4"/>
  <c r="J681" i="4" l="1"/>
  <c r="H681" i="4"/>
  <c r="I681" i="4"/>
  <c r="D681" i="4"/>
  <c r="N681" i="4"/>
  <c r="M681" i="4"/>
  <c r="G681" i="4"/>
  <c r="C681" i="4"/>
  <c r="K681" i="4"/>
  <c r="E682" i="4" s="1"/>
  <c r="F681" i="4"/>
  <c r="B681" i="4"/>
  <c r="A681" i="4"/>
  <c r="O681" i="4"/>
  <c r="L681" i="4"/>
  <c r="M682" i="4" l="1"/>
  <c r="D682" i="4"/>
  <c r="H682" i="4"/>
  <c r="G682" i="4"/>
  <c r="A682" i="4"/>
  <c r="K682" i="4"/>
  <c r="E683" i="4" s="1"/>
  <c r="O682" i="4"/>
  <c r="N682" i="4"/>
  <c r="J682" i="4"/>
  <c r="I682" i="4"/>
  <c r="F682" i="4"/>
  <c r="C682" i="4"/>
  <c r="B682" i="4"/>
  <c r="L682" i="4"/>
  <c r="A683" i="4" l="1"/>
  <c r="F683" i="4"/>
  <c r="C683" i="4"/>
  <c r="M683" i="4"/>
  <c r="H683" i="4"/>
  <c r="G683" i="4"/>
  <c r="O683" i="4"/>
  <c r="K683" i="4"/>
  <c r="E684" i="4" s="1"/>
  <c r="D683" i="4"/>
  <c r="B683" i="4"/>
  <c r="L683" i="4"/>
  <c r="J683" i="4"/>
  <c r="I683" i="4"/>
  <c r="N683" i="4"/>
  <c r="B684" i="4" l="1"/>
  <c r="L684" i="4"/>
  <c r="H684" i="4"/>
  <c r="C684" i="4"/>
  <c r="A684" i="4"/>
  <c r="M684" i="4"/>
  <c r="K684" i="4"/>
  <c r="E685" i="4" s="1"/>
  <c r="J684" i="4"/>
  <c r="I684" i="4"/>
  <c r="O684" i="4"/>
  <c r="G684" i="4"/>
  <c r="F684" i="4"/>
  <c r="D684" i="4"/>
  <c r="N684" i="4"/>
  <c r="I685" i="4" l="1"/>
  <c r="G685" i="4"/>
  <c r="L685" i="4"/>
  <c r="K685" i="4"/>
  <c r="E686" i="4" s="1"/>
  <c r="O685" i="4"/>
  <c r="M685" i="4"/>
  <c r="A685" i="4"/>
  <c r="C685" i="4"/>
  <c r="F685" i="4"/>
  <c r="D685" i="4"/>
  <c r="B685" i="4"/>
  <c r="N685" i="4"/>
  <c r="H685" i="4"/>
  <c r="J685" i="4"/>
  <c r="M686" i="4" l="1"/>
  <c r="K686" i="4"/>
  <c r="H686" i="4"/>
  <c r="C9" i="3" s="1"/>
  <c r="C12" i="3" s="1"/>
  <c r="G686" i="4"/>
  <c r="B686" i="4"/>
  <c r="A686" i="4"/>
  <c r="O686" i="4"/>
  <c r="C8" i="3" s="1"/>
  <c r="N686" i="4"/>
  <c r="C7" i="3" s="1"/>
  <c r="C13" i="3" s="1"/>
  <c r="F686" i="4"/>
  <c r="D686" i="4"/>
  <c r="J686" i="4"/>
  <c r="C10" i="3" s="1"/>
  <c r="I686" i="4"/>
  <c r="B31" i="3" s="1"/>
  <c r="D31" i="3" s="1"/>
  <c r="F31" i="3" s="1"/>
  <c r="C686" i="4"/>
  <c r="L686" i="4"/>
  <c r="C11" i="3" l="1"/>
  <c r="B35" i="3"/>
  <c r="D35" i="3" s="1"/>
  <c r="F35" i="3" s="1"/>
</calcChain>
</file>

<file path=xl/sharedStrings.xml><?xml version="1.0" encoding="utf-8"?>
<sst xmlns="http://schemas.openxmlformats.org/spreadsheetml/2006/main" count="172" uniqueCount="157">
  <si>
    <t>Loanyzer Biweekly Car Loan Comparison</t>
  </si>
  <si>
    <t>Educational estimate • Version 1.0 • Reviewed August 27, 2026 • USD • US date format</t>
  </si>
  <si>
    <t>Purpose and editorial context</t>
  </si>
  <si>
    <t>Primary purpose</t>
  </si>
  <si>
    <t>Compare monthly, twice-monthly, true biweekly, and lender-held biweekly payment behavior.</t>
  </si>
  <si>
    <t>Search brief</t>
  </si>
  <si>
    <t>Biweekly Car Loan Calculator: two half-payments are not automatically the same as paying every two weeks.</t>
  </si>
  <si>
    <t>Provided signal</t>
  </si>
  <si>
    <t>Ubersuggest: 390 searches/month; $64.11 CPC; SEO difficulty 22.</t>
  </si>
  <si>
    <t>Content opportunity</t>
  </si>
  <si>
    <t>Explain 26 half-payments, posting timing, amortization, and actual estimated savings.</t>
  </si>
  <si>
    <t>Publication condition</t>
  </si>
  <si>
    <t>Use this workbook or an equivalent functional calculator; a text-only article would not satisfy calculator intent.</t>
  </si>
  <si>
    <t>How to use</t>
  </si>
  <si>
    <t>1</t>
  </si>
  <si>
    <t>Open Inputs and replace the clearly labeled illustrative values in the unlocked yellow cells.</t>
  </si>
  <si>
    <t>2</t>
  </si>
  <si>
    <t>Choose the interest method and lender posting method from the dropdowns.</t>
  </si>
  <si>
    <t>3</t>
  </si>
  <si>
    <t>Review the four scenarios and the selected-lender callout on Comparison.</t>
  </si>
  <si>
    <t>4</t>
  </si>
  <si>
    <t>Use Amortization to audit each debit, interest accrual, principal application, fee, and ending balance.</t>
  </si>
  <si>
    <t>5</t>
  </si>
  <si>
    <t>Save a copy before changing assumptions if you need a record of the article example.</t>
  </si>
  <si>
    <t>Model conventions</t>
  </si>
  <si>
    <t>Monthly</t>
  </si>
  <si>
    <t>One full scheduled payment per month (12 per year).</t>
  </si>
  <si>
    <t>Twice Monthly</t>
  </si>
  <si>
    <t>Two half-payments per month (24 per year), using the first payment date and a 15-day offset.</t>
  </si>
  <si>
    <t>True Biweekly</t>
  </si>
  <si>
    <t>One half-payment every 14 days (26 per year), applied when received.</t>
  </si>
  <si>
    <t>Biweekly Held</t>
  </si>
  <si>
    <t>One half-payment debited every 14 days; funds are accumulated and principal changes only after every second debit.</t>
  </si>
  <si>
    <t>Daily Simple Interest</t>
  </si>
  <si>
    <t>Interest = opening balance × APR ÷ 365 × actual days in the row.</t>
  </si>
  <si>
    <t>Monthly Amortization</t>
  </si>
  <si>
    <t>Nominal APR is allocated by scenario frequency: 12, 24, or 26 accrual periods per year.</t>
  </si>
  <si>
    <t>Fees</t>
  </si>
  <si>
    <t>Processing fee is charged once for each non-zero debit and does not reduce principal.</t>
  </si>
  <si>
    <t>Final debit</t>
  </si>
  <si>
    <t>Scheduled payment and extra principal are capped at the remaining balance plus accrued interest.</t>
  </si>
  <si>
    <t>Important disclaimer</t>
  </si>
  <si>
    <t>This workbook is an educational estimate, not a payoff quote or financial advice. Your loan contract, lender servicing rules, interest accrual convention, payment allocation, grace periods, fees, and actual posting dates control. Confirm with the lender how partial and biweekly debits are applied before changing payment instructions.</t>
  </si>
  <si>
    <t>Illustrative example values are unlocked, blue-font, and yellow-filled. Change only column B.</t>
  </si>
  <si>
    <t>Input</t>
  </si>
  <si>
    <t>Illustrative value</t>
  </si>
  <si>
    <t>Unit</t>
  </si>
  <si>
    <t>Guidance</t>
  </si>
  <si>
    <t>Validation status</t>
  </si>
  <si>
    <t>Amount Financed</t>
  </si>
  <si>
    <t>USD</t>
  </si>
  <si>
    <t>Principal balance at origination.</t>
  </si>
  <si>
    <t>APR</t>
  </si>
  <si>
    <t>Annual rate</t>
  </si>
  <si>
    <t>Enter 7.25% as 7.25%, not 7.25.</t>
  </si>
  <si>
    <t>Term in Months</t>
  </si>
  <si>
    <t>Months</t>
  </si>
  <si>
    <t>Allowed range: 12 to 120 months.</t>
  </si>
  <si>
    <t>Loan Start Date</t>
  </si>
  <si>
    <t>US date</t>
  </si>
  <si>
    <t>Date funds were advanced or interest began.</t>
  </si>
  <si>
    <t>First Payment Date</t>
  </si>
  <si>
    <t>First scheduled debit date; keep it after the loan start date.</t>
  </si>
  <si>
    <t>Extra Principal per Payment</t>
  </si>
  <si>
    <t>USD / debit</t>
  </si>
  <si>
    <t>Added to every non-final debit and capped on the payoff row.</t>
  </si>
  <si>
    <t>Debit or Processing Fee</t>
  </si>
  <si>
    <t>Charged once per non-zero debit; excluded from principal.</t>
  </si>
  <si>
    <t>Interest Method</t>
  </si>
  <si>
    <t>Selection</t>
  </si>
  <si>
    <t>Daily uses actual/365 days; monthly uses a periodic nominal rate.</t>
  </si>
  <si>
    <t>Lender Posting Method</t>
  </si>
  <si>
    <t>Apply When Received</t>
  </si>
  <si>
    <t>Selects the lender-result callout; all four scenarios remain visible.</t>
  </si>
  <si>
    <t>Visible model constants (protected)</t>
  </si>
  <si>
    <t>Constant</t>
  </si>
  <si>
    <t>Value</t>
  </si>
  <si>
    <t>Use</t>
  </si>
  <si>
    <t>Days per year</t>
  </si>
  <si>
    <t>Days</t>
  </si>
  <si>
    <t>Actual/365 daily interest convention</t>
  </si>
  <si>
    <t>Monthly payments per year</t>
  </si>
  <si>
    <t>Payments</t>
  </si>
  <si>
    <t>Monthly scenario</t>
  </si>
  <si>
    <t>Twice-monthly debits per year</t>
  </si>
  <si>
    <t>Debits</t>
  </si>
  <si>
    <t>Two half-payments each month</t>
  </si>
  <si>
    <t>Biweekly debits per year</t>
  </si>
  <si>
    <t>One debit every 14 days</t>
  </si>
  <si>
    <t>Biweekly interval</t>
  </si>
  <si>
    <t>True and held biweekly date spacing</t>
  </si>
  <si>
    <t>Twice-monthly second offset</t>
  </si>
  <si>
    <t>Second debit offset from monthly anchor</t>
  </si>
  <si>
    <t>Result</t>
  </si>
  <si>
    <t>Biweekly Held by Lender</t>
  </si>
  <si>
    <t>Payment amount (per debit)</t>
  </si>
  <si>
    <t>Effective payments / debits per year</t>
  </si>
  <si>
    <t>Estimated payoff date</t>
  </si>
  <si>
    <t>Number of payments / debits</t>
  </si>
  <si>
    <t>Total interest</t>
  </si>
  <si>
    <t>Total fees</t>
  </si>
  <si>
    <t>Total amount paid</t>
  </si>
  <si>
    <t>Interest saved vs monthly</t>
  </si>
  <si>
    <t>Time saved vs monthly</t>
  </si>
  <si>
    <t>Selected lender result</t>
  </si>
  <si>
    <t>Posting method</t>
  </si>
  <si>
    <t>Modeled scenario</t>
  </si>
  <si>
    <t>Interpretation notes</t>
  </si>
  <si>
    <t>Twice monthly</t>
  </si>
  <si>
    <t>24 half-payments</t>
  </si>
  <si>
    <t>Same annual scheduled amount as monthly</t>
  </si>
  <si>
    <t>Timing may reduce interest</t>
  </si>
  <si>
    <t>Not the same as every 14 days</t>
  </si>
  <si>
    <t>True biweekly</t>
  </si>
  <si>
    <t>26 half-payments</t>
  </si>
  <si>
    <t>Equivalent to 13 full payments/year</t>
  </si>
  <si>
    <t>Each debit reduces balance</t>
  </si>
  <si>
    <t>Usually strongest payoff acceleration</t>
  </si>
  <si>
    <t>Held by lender</t>
  </si>
  <si>
    <t>26 debits</t>
  </si>
  <si>
    <t>First half is retained</t>
  </si>
  <si>
    <t>Interest continues while held</t>
  </si>
  <si>
    <t>Posting policy can reduce the expected benefit</t>
  </si>
  <si>
    <t>Model checks</t>
  </si>
  <si>
    <t>Check</t>
  </si>
  <si>
    <t>Actual</t>
  </si>
  <si>
    <t>Expected</t>
  </si>
  <si>
    <t>Difference</t>
  </si>
  <si>
    <t>Tolerance</t>
  </si>
  <si>
    <t>Status</t>
  </si>
  <si>
    <t>Monthly: principal roll-forward</t>
  </si>
  <si>
    <t>Twice Monthly: principal roll-forward</t>
  </si>
  <si>
    <t>True Biweekly: principal roll-forward</t>
  </si>
  <si>
    <t>Biweekly Held by Lender: principal roll-forward</t>
  </si>
  <si>
    <t>Monthly: cash tie</t>
  </si>
  <si>
    <t>Twice Monthly: cash tie</t>
  </si>
  <si>
    <t>True Biweekly: cash tie</t>
  </si>
  <si>
    <t>Biweekly Held by Lender: cash tie</t>
  </si>
  <si>
    <t>Rows continue only while a balance remains. In the held scenario, interest accrues on every debit row but funds and principal are posted after every second debit.</t>
  </si>
  <si>
    <t>Scenario</t>
  </si>
  <si>
    <t>Payment Number</t>
  </si>
  <si>
    <t>Payment Date</t>
  </si>
  <si>
    <t>Days Since Prior Payment</t>
  </si>
  <si>
    <t>Opening Balance</t>
  </si>
  <si>
    <t>Scheduled Payment</t>
  </si>
  <si>
    <t>Extra Principal</t>
  </si>
  <si>
    <t>Interest</t>
  </si>
  <si>
    <t>Principal Applied</t>
  </si>
  <si>
    <t>Processing Fee</t>
  </si>
  <si>
    <t>Closing Balance</t>
  </si>
  <si>
    <t>Funds Applied</t>
  </si>
  <si>
    <t>Held Funds End</t>
  </si>
  <si>
    <t>Row Status</t>
  </si>
  <si>
    <t>Debit Count</t>
  </si>
  <si>
    <t>Loanyzer: Biweekly Car Loan Comparison</t>
  </si>
  <si>
    <t>Loanyzer: Amortization Schedule - Four Scenarios</t>
  </si>
  <si>
    <t>Loanyzer: Inputs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</si>
</sst>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Red]\(\$#,##0.00\);\-"/>
    <numFmt numFmtId="165" formatCode="0.00%;[Red]\(0.00%\);\-"/>
    <numFmt numFmtId="166" formatCode="mm/dd/yyyy"/>
    <numFmt numFmtId="167" formatCode="#,##0\ &quot;days&quot;"/>
  </numFmts>
  <fonts count="17">
    <font>
      <sz val="11"/>
      <name val="Carlito"/>
    </font>
    <font>
      <b/>
      <sz val="18"/>
      <color rgb="FFFFFFFF"/>
      <name val="Aptos Display"/>
    </font>
    <font>
      <sz val="10"/>
      <color rgb="FF334155"/>
      <name val="Aptos"/>
    </font>
    <font>
      <b/>
      <sz val="11"/>
      <color rgb="FFFFFFFF"/>
      <name val="Aptos"/>
    </font>
    <font>
      <b/>
      <sz val="10"/>
      <color rgb="FF334155"/>
      <name val="Aptos"/>
    </font>
    <font>
      <sz val="10"/>
      <color rgb="FF000000"/>
      <name val="Aptos"/>
    </font>
    <font>
      <b/>
      <sz val="11"/>
      <color rgb="FF115E59"/>
      <name val="Aptos"/>
    </font>
    <font>
      <b/>
      <sz val="10"/>
      <color rgb="FFFFFFFF"/>
      <name val="Aptos"/>
    </font>
    <font>
      <sz val="10"/>
      <color rgb="FF0000FF"/>
      <name val="Aptos"/>
    </font>
    <font>
      <sz val="9"/>
      <color rgb="FF64748B"/>
      <name val="Aptos"/>
    </font>
    <font>
      <sz val="9"/>
      <color rgb="FF334155"/>
      <name val="Aptos"/>
    </font>
    <font>
      <b/>
      <sz val="9"/>
      <color rgb="FF000000"/>
      <name val="Aptos"/>
    </font>
    <font>
      <b/>
      <sz val="9"/>
      <color rgb="FFFFFFFF"/>
      <name val="Aptos"/>
    </font>
    <font>
      <b/>
      <sz val="9"/>
      <color rgb="FF334155"/>
      <name val="Aptos"/>
    </font>
    <font>
      <sz val="9"/>
      <color rgb="FF000000"/>
      <name val="Aptos"/>
    </font>
    <font>
      <b/>
      <sz val="10"/>
      <color rgb="FF115E59"/>
      <name val="Aptos"/>
    </font>
    <font>
      <b/>
      <sz val="9"/>
      <color rgb="FF115E59"/>
      <name val="Aptos"/>
    </font>
  </fonts>
  <fills count="11">
    <fill>
      <patternFill patternType="none"/>
    </fill>
    <fill>
      <patternFill patternType="gray125"/>
    </fill>
    <fill>
      <patternFill patternType="solid">
        <fgColor rgb="FF0B1F33"/>
      </patternFill>
    </fill>
    <fill>
      <patternFill patternType="solid">
        <fgColor rgb="FFEAF2F8"/>
      </patternFill>
    </fill>
    <fill>
      <patternFill patternType="solid">
        <fgColor rgb="FF0F766E"/>
      </patternFill>
    </fill>
    <fill>
      <patternFill patternType="solid">
        <fgColor rgb="FFDDF5EF"/>
      </patternFill>
    </fill>
    <fill>
      <patternFill patternType="solid">
        <fgColor rgb="FFFFF4CC"/>
      </patternFill>
    </fill>
    <fill>
      <patternFill patternType="solid">
        <fgColor rgb="FF334155"/>
      </patternFill>
    </fill>
    <fill>
      <patternFill patternType="solid">
        <fgColor rgb="FFF1F5F9"/>
      </patternFill>
    </fill>
    <fill>
      <patternFill patternType="solid">
        <fgColor rgb="FFF8FAFC"/>
      </patternFill>
    </fill>
    <fill>
      <patternFill patternType="solid">
        <fgColor rgb="FFFFF7CE"/>
        <bgColor indexed="64"/>
      </patternFill>
    </fill>
  </fills>
  <borders count="19">
    <border>
      <left/>
      <right/>
      <top/>
      <bottom/>
      <diagonal/>
    </border>
    <border>
      <left/>
      <right/>
      <top/>
      <bottom style="thin">
        <color rgb="FFCBD5E1"/>
      </bottom>
      <diagonal/>
    </border>
    <border>
      <left/>
      <right/>
      <top style="thin">
        <color rgb="FFCBD5E1"/>
      </top>
      <bottom style="thin">
        <color rgb="FFCBD5E1"/>
      </bottom>
      <diagonal/>
    </border>
    <border>
      <left/>
      <right/>
      <top style="thin">
        <color rgb="FFCBD5E1"/>
      </top>
      <bottom/>
      <diagonal/>
    </border>
    <border>
      <left style="thin">
        <color rgb="FFD6A500"/>
      </left>
      <right/>
      <top style="thin">
        <color rgb="FFD6A500"/>
      </top>
      <bottom/>
      <diagonal/>
    </border>
    <border>
      <left/>
      <right/>
      <top style="thin">
        <color rgb="FFD6A500"/>
      </top>
      <bottom/>
      <diagonal/>
    </border>
    <border>
      <left/>
      <right style="thin">
        <color rgb="FFD6A500"/>
      </right>
      <top style="thin">
        <color rgb="FFD6A500"/>
      </top>
      <bottom/>
      <diagonal/>
    </border>
    <border>
      <left style="thin">
        <color rgb="FFD6A500"/>
      </left>
      <right/>
      <top/>
      <bottom/>
      <diagonal/>
    </border>
    <border>
      <left/>
      <right style="thin">
        <color rgb="FFD6A500"/>
      </right>
      <top/>
      <bottom/>
      <diagonal/>
    </border>
    <border>
      <left style="thin">
        <color rgb="FFD6A500"/>
      </left>
      <right/>
      <top/>
      <bottom style="thin">
        <color rgb="FFD6A500"/>
      </bottom>
      <diagonal/>
    </border>
    <border>
      <left/>
      <right/>
      <top/>
      <bottom style="thin">
        <color rgb="FFD6A500"/>
      </bottom>
      <diagonal/>
    </border>
    <border>
      <left/>
      <right style="thin">
        <color rgb="FFD6A500"/>
      </right>
      <top/>
      <bottom style="thin">
        <color rgb="FFD6A500"/>
      </bottom>
      <diagonal/>
    </border>
    <border>
      <left style="thin">
        <color rgb="FFD6A500"/>
      </left>
      <right style="thin">
        <color rgb="FFD6A500"/>
      </right>
      <top/>
      <bottom style="thin">
        <color rgb="FFCBD5E1"/>
      </bottom>
      <diagonal/>
    </border>
    <border>
      <left style="thin">
        <color rgb="FFD6A500"/>
      </left>
      <right style="thin">
        <color rgb="FFD6A500"/>
      </right>
      <top style="thin">
        <color rgb="FFCBD5E1"/>
      </top>
      <bottom style="thin">
        <color rgb="FFCBD5E1"/>
      </bottom>
      <diagonal/>
    </border>
    <border>
      <left style="thin">
        <color rgb="FFD6A500"/>
      </left>
      <right style="thin">
        <color rgb="FFD6A500"/>
      </right>
      <top style="thin">
        <color rgb="FFCBD5E1"/>
      </top>
      <bottom/>
      <diagonal/>
    </border>
    <border>
      <left style="thin">
        <color rgb="FFCBD5E1"/>
      </left>
      <right style="thin">
        <color rgb="FFCBD5E1"/>
      </right>
      <top style="thin">
        <color rgb="FFCBD5E1"/>
      </top>
      <bottom style="thin">
        <color rgb="FFCBD5E1"/>
      </bottom>
      <diagonal/>
    </border>
    <border>
      <left/>
      <right/>
      <top style="thin">
        <color rgb="FFE2E8F0"/>
      </top>
      <bottom style="thin">
        <color rgb="FFE2E8F0"/>
      </bottom>
      <diagonal/>
    </border>
    <border>
      <left/>
      <right/>
      <top style="thin">
        <color rgb="FFE2E8F0"/>
      </top>
      <bottom/>
      <diagonal/>
    </border>
    <border>
      <left/>
      <right/>
      <top style="medium">
        <color rgb="FF0F766E"/>
      </top>
      <bottom style="thin">
        <color rgb="FF0F766E"/>
      </bottom>
      <diagonal/>
    </border>
  </borders>
  <cellStyleXfs count="1">
    <xf numFmtId="0" fontId="0" fillId="0" borderId="0"/>
  </cellStyleXfs>
  <cellXfs count="93">
    <xf numFmtId="0" fontId="0" fillId="0" borderId="0" xfId="0"/>
    <xf numFmtId="0" fontId="4" fillId="0" borderId="1" xfId="0" applyFont="1" applyBorder="1"/>
    <xf numFmtId="0" fontId="4" fillId="0" borderId="2" xfId="0" applyFont="1" applyBorder="1"/>
    <xf numFmtId="0" fontId="4" fillId="0" borderId="3" xfId="0" applyFont="1" applyBorder="1"/>
    <xf numFmtId="0" fontId="6" fillId="5" borderId="0" xfId="0" applyFont="1" applyFill="1" applyAlignment="1">
      <alignment horizontal="center"/>
    </xf>
    <xf numFmtId="0" fontId="7" fillId="4" borderId="0" xfId="0" applyFont="1" applyFill="1" applyAlignment="1">
      <alignment vertical="center" wrapText="1"/>
    </xf>
    <xf numFmtId="0" fontId="9" fillId="0" borderId="1" xfId="0" applyFont="1" applyBorder="1"/>
    <xf numFmtId="0" fontId="10" fillId="0" borderId="1" xfId="0" applyFont="1" applyBorder="1" applyAlignment="1">
      <alignment wrapText="1"/>
    </xf>
    <xf numFmtId="0" fontId="11" fillId="0" borderId="1" xfId="0" applyFont="1" applyBorder="1" applyAlignment="1">
      <alignment wrapText="1"/>
    </xf>
    <xf numFmtId="0" fontId="9" fillId="0" borderId="2" xfId="0" applyFont="1" applyBorder="1"/>
    <xf numFmtId="0" fontId="10" fillId="0" borderId="2" xfId="0" applyFont="1" applyBorder="1" applyAlignment="1">
      <alignment wrapText="1"/>
    </xf>
    <xf numFmtId="0" fontId="11" fillId="0" borderId="2" xfId="0" applyFont="1" applyBorder="1" applyAlignment="1">
      <alignment wrapText="1"/>
    </xf>
    <xf numFmtId="0" fontId="9" fillId="0" borderId="3" xfId="0" applyFont="1" applyBorder="1"/>
    <xf numFmtId="0" fontId="10" fillId="0" borderId="3" xfId="0" applyFont="1" applyBorder="1" applyAlignment="1">
      <alignment wrapText="1"/>
    </xf>
    <xf numFmtId="0" fontId="11" fillId="0" borderId="3" xfId="0" applyFont="1" applyBorder="1" applyAlignment="1">
      <alignment wrapText="1"/>
    </xf>
    <xf numFmtId="0" fontId="12" fillId="7" borderId="0" xfId="0" applyFont="1" applyFill="1"/>
    <xf numFmtId="0" fontId="12" fillId="7" borderId="15" xfId="0" applyFont="1" applyFill="1" applyBorder="1"/>
    <xf numFmtId="0" fontId="13" fillId="0" borderId="15" xfId="0" applyFont="1" applyBorder="1"/>
    <xf numFmtId="3" fontId="14" fillId="8" borderId="15" xfId="0" applyNumberFormat="1" applyFont="1" applyFill="1" applyBorder="1"/>
    <xf numFmtId="0" fontId="10" fillId="0" borderId="15" xfId="0" applyFont="1" applyBorder="1" applyAlignment="1">
      <alignment wrapText="1"/>
    </xf>
    <xf numFmtId="0" fontId="7" fillId="4" borderId="15" xfId="0" applyFont="1" applyFill="1" applyBorder="1" applyAlignment="1">
      <alignment horizontal="center" vertical="center" wrapText="1"/>
    </xf>
    <xf numFmtId="0" fontId="12" fillId="4" borderId="0" xfId="0" applyFont="1" applyFill="1" applyAlignment="1">
      <alignment horizontal="center" vertical="center" wrapText="1"/>
    </xf>
    <xf numFmtId="0" fontId="5" fillId="0" borderId="16" xfId="0" applyFont="1" applyBorder="1"/>
    <xf numFmtId="3" fontId="5" fillId="0" borderId="16" xfId="0" applyNumberFormat="1" applyFont="1" applyBorder="1"/>
    <xf numFmtId="166" fontId="5" fillId="0" borderId="16" xfId="0" applyNumberFormat="1" applyFont="1" applyBorder="1"/>
    <xf numFmtId="164" fontId="5" fillId="0" borderId="16" xfId="0" applyNumberFormat="1" applyFont="1" applyBorder="1"/>
    <xf numFmtId="0" fontId="5" fillId="0" borderId="17" xfId="0" applyFont="1" applyBorder="1"/>
    <xf numFmtId="3" fontId="5" fillId="0" borderId="17" xfId="0" applyNumberFormat="1" applyFont="1" applyBorder="1"/>
    <xf numFmtId="166" fontId="5" fillId="0" borderId="17" xfId="0" applyNumberFormat="1" applyFont="1" applyBorder="1"/>
    <xf numFmtId="164" fontId="5" fillId="0" borderId="17" xfId="0" applyNumberFormat="1" applyFont="1" applyBorder="1"/>
    <xf numFmtId="0" fontId="16" fillId="3" borderId="18" xfId="0" applyFont="1" applyFill="1" applyBorder="1"/>
    <xf numFmtId="3" fontId="16" fillId="3" borderId="18" xfId="0" applyNumberFormat="1" applyFont="1" applyFill="1" applyBorder="1"/>
    <xf numFmtId="166" fontId="16" fillId="3" borderId="18" xfId="0" applyNumberFormat="1" applyFont="1" applyFill="1" applyBorder="1"/>
    <xf numFmtId="164" fontId="16" fillId="3" borderId="18" xfId="0" applyNumberFormat="1" applyFont="1" applyFill="1" applyBorder="1"/>
    <xf numFmtId="0" fontId="1" fillId="2" borderId="0" xfId="0" applyFont="1" applyFill="1" applyAlignment="1">
      <alignment horizontal="left" vertical="center"/>
    </xf>
    <xf numFmtId="0" fontId="2" fillId="3" borderId="0" xfId="0" applyFont="1" applyFill="1" applyAlignment="1">
      <alignment vertical="center" wrapText="1"/>
    </xf>
    <xf numFmtId="0" fontId="3" fillId="4" borderId="0" xfId="0" applyFont="1" applyFill="1" applyAlignment="1">
      <alignment horizontal="left" vertical="center"/>
    </xf>
    <xf numFmtId="0" fontId="4" fillId="6" borderId="4" xfId="0" applyFont="1" applyFill="1" applyBorder="1" applyAlignment="1">
      <alignment vertical="center" wrapText="1"/>
    </xf>
    <xf numFmtId="0" fontId="4" fillId="6" borderId="5" xfId="0" applyFont="1" applyFill="1" applyBorder="1" applyAlignment="1">
      <alignment vertical="center" wrapText="1"/>
    </xf>
    <xf numFmtId="0" fontId="4" fillId="6" borderId="6" xfId="0" applyFont="1" applyFill="1" applyBorder="1" applyAlignment="1">
      <alignment vertical="center" wrapText="1"/>
    </xf>
    <xf numFmtId="0" fontId="4" fillId="6" borderId="7" xfId="0" applyFont="1" applyFill="1" applyBorder="1" applyAlignment="1">
      <alignment vertical="center" wrapText="1"/>
    </xf>
    <xf numFmtId="0" fontId="4" fillId="6" borderId="0" xfId="0" applyFont="1" applyFill="1" applyAlignment="1">
      <alignment vertical="center" wrapText="1"/>
    </xf>
    <xf numFmtId="0" fontId="4" fillId="6" borderId="8" xfId="0" applyFont="1" applyFill="1" applyBorder="1" applyAlignment="1">
      <alignment vertical="center" wrapText="1"/>
    </xf>
    <xf numFmtId="0" fontId="4" fillId="6" borderId="9" xfId="0" applyFont="1" applyFill="1" applyBorder="1" applyAlignment="1">
      <alignment vertical="center" wrapText="1"/>
    </xf>
    <xf numFmtId="0" fontId="4" fillId="6" borderId="10" xfId="0" applyFont="1" applyFill="1" applyBorder="1" applyAlignment="1">
      <alignment vertical="center" wrapText="1"/>
    </xf>
    <xf numFmtId="0" fontId="4" fillId="6" borderId="11" xfId="0" applyFont="1" applyFill="1" applyBorder="1" applyAlignment="1">
      <alignment vertical="center" wrapText="1"/>
    </xf>
    <xf numFmtId="0" fontId="15" fillId="5" borderId="0" xfId="0" applyFont="1" applyFill="1"/>
    <xf numFmtId="0" fontId="4" fillId="0" borderId="1" xfId="0" applyFont="1" applyBorder="1" applyAlignment="1">
      <alignment vertical="center"/>
    </xf>
    <xf numFmtId="0" fontId="5" fillId="0" borderId="1" xfId="0" applyFont="1" applyBorder="1" applyAlignment="1">
      <alignment vertical="center" wrapText="1"/>
    </xf>
    <xf numFmtId="0" fontId="0" fillId="0" borderId="0" xfId="0" applyAlignment="1">
      <alignment vertical="center"/>
    </xf>
    <xf numFmtId="0" fontId="4" fillId="0" borderId="2" xfId="0" applyFont="1" applyBorder="1" applyAlignment="1">
      <alignment vertical="center"/>
    </xf>
    <xf numFmtId="0" fontId="5" fillId="0" borderId="2" xfId="0" applyFont="1" applyBorder="1" applyAlignment="1">
      <alignment vertical="center" wrapText="1"/>
    </xf>
    <xf numFmtId="0" fontId="4" fillId="0" borderId="3" xfId="0" applyFont="1" applyBorder="1" applyAlignment="1">
      <alignment vertical="center"/>
    </xf>
    <xf numFmtId="0" fontId="5" fillId="0" borderId="3" xfId="0" applyFont="1" applyBorder="1" applyAlignment="1">
      <alignment vertical="center" wrapText="1"/>
    </xf>
    <xf numFmtId="0" fontId="5" fillId="0" borderId="0" xfId="0" applyFont="1" applyAlignment="1">
      <alignment wrapText="1"/>
    </xf>
    <xf numFmtId="0" fontId="0" fillId="0" borderId="0" xfId="0" applyAlignment="1"/>
    <xf numFmtId="0" fontId="4" fillId="9" borderId="15" xfId="0" applyFont="1" applyFill="1" applyBorder="1" applyAlignment="1">
      <alignment vertical="center" wrapText="1"/>
    </xf>
    <xf numFmtId="164" fontId="5" fillId="0" borderId="15" xfId="0" applyNumberFormat="1" applyFont="1" applyBorder="1" applyAlignment="1">
      <alignment horizontal="right" vertical="center"/>
    </xf>
    <xf numFmtId="164" fontId="5" fillId="5" borderId="15" xfId="0" applyNumberFormat="1" applyFont="1" applyFill="1" applyBorder="1" applyAlignment="1">
      <alignment horizontal="right" vertical="center"/>
    </xf>
    <xf numFmtId="164" fontId="5" fillId="6" borderId="15" xfId="0" applyNumberFormat="1" applyFont="1" applyFill="1" applyBorder="1" applyAlignment="1">
      <alignment horizontal="right" vertical="center"/>
    </xf>
    <xf numFmtId="3" fontId="5" fillId="0" borderId="15" xfId="0" applyNumberFormat="1" applyFont="1" applyBorder="1" applyAlignment="1">
      <alignment horizontal="right" vertical="center"/>
    </xf>
    <xf numFmtId="3" fontId="5" fillId="5" borderId="15" xfId="0" applyNumberFormat="1" applyFont="1" applyFill="1" applyBorder="1" applyAlignment="1">
      <alignment horizontal="right" vertical="center"/>
    </xf>
    <xf numFmtId="3" fontId="5" fillId="6" borderId="15" xfId="0" applyNumberFormat="1" applyFont="1" applyFill="1" applyBorder="1" applyAlignment="1">
      <alignment horizontal="right" vertical="center"/>
    </xf>
    <xf numFmtId="166" fontId="5" fillId="0" borderId="15" xfId="0" applyNumberFormat="1" applyFont="1" applyBorder="1" applyAlignment="1">
      <alignment horizontal="right" vertical="center"/>
    </xf>
    <xf numFmtId="166" fontId="5" fillId="5" borderId="15" xfId="0" applyNumberFormat="1" applyFont="1" applyFill="1" applyBorder="1" applyAlignment="1">
      <alignment horizontal="right" vertical="center"/>
    </xf>
    <xf numFmtId="166" fontId="5" fillId="6" borderId="15" xfId="0" applyNumberFormat="1" applyFont="1" applyFill="1" applyBorder="1" applyAlignment="1">
      <alignment horizontal="right" vertical="center"/>
    </xf>
    <xf numFmtId="167" fontId="5" fillId="0" borderId="15" xfId="0" applyNumberFormat="1" applyFont="1" applyBorder="1" applyAlignment="1">
      <alignment horizontal="right" vertical="center"/>
    </xf>
    <xf numFmtId="167" fontId="5" fillId="5" borderId="15" xfId="0" applyNumberFormat="1" applyFont="1" applyFill="1" applyBorder="1" applyAlignment="1">
      <alignment horizontal="right" vertical="center"/>
    </xf>
    <xf numFmtId="167" fontId="5" fillId="6" borderId="15" xfId="0" applyNumberFormat="1" applyFont="1" applyFill="1" applyBorder="1" applyAlignment="1">
      <alignment horizontal="right" vertical="center"/>
    </xf>
    <xf numFmtId="0" fontId="4" fillId="9" borderId="15" xfId="0" applyFont="1" applyFill="1" applyBorder="1" applyAlignment="1">
      <alignment vertical="center"/>
    </xf>
    <xf numFmtId="0" fontId="6" fillId="3" borderId="15" xfId="0" applyFont="1" applyFill="1" applyBorder="1" applyAlignment="1">
      <alignment horizontal="right" vertical="center"/>
    </xf>
    <xf numFmtId="166" fontId="6" fillId="3" borderId="15" xfId="0" applyNumberFormat="1" applyFont="1" applyFill="1" applyBorder="1" applyAlignment="1">
      <alignment horizontal="right" vertical="center"/>
    </xf>
    <xf numFmtId="164" fontId="6" fillId="3" borderId="15" xfId="0" applyNumberFormat="1" applyFont="1" applyFill="1" applyBorder="1" applyAlignment="1">
      <alignment horizontal="right" vertical="center"/>
    </xf>
    <xf numFmtId="0" fontId="13" fillId="0" borderId="1" xfId="0" applyFont="1" applyBorder="1" applyAlignment="1">
      <alignment vertical="center" wrapText="1"/>
    </xf>
    <xf numFmtId="0" fontId="10" fillId="0" borderId="1" xfId="0" applyFont="1" applyBorder="1" applyAlignment="1">
      <alignment vertical="center" wrapText="1"/>
    </xf>
    <xf numFmtId="0" fontId="13" fillId="0" borderId="2" xfId="0" applyFont="1" applyBorder="1" applyAlignment="1">
      <alignment vertical="center" wrapText="1"/>
    </xf>
    <xf numFmtId="0" fontId="10" fillId="0" borderId="2" xfId="0" applyFont="1" applyBorder="1" applyAlignment="1">
      <alignment vertical="center" wrapText="1"/>
    </xf>
    <xf numFmtId="0" fontId="13" fillId="0" borderId="3" xfId="0" applyFont="1" applyBorder="1" applyAlignment="1">
      <alignment vertical="center" wrapText="1"/>
    </xf>
    <xf numFmtId="0" fontId="10" fillId="0" borderId="3" xfId="0" applyFont="1" applyBorder="1" applyAlignment="1">
      <alignment vertical="center" wrapText="1"/>
    </xf>
    <xf numFmtId="0" fontId="14" fillId="0" borderId="15" xfId="0" applyFont="1" applyBorder="1" applyAlignment="1">
      <alignment vertical="center"/>
    </xf>
    <xf numFmtId="164" fontId="14" fillId="0" borderId="15" xfId="0" applyNumberFormat="1" applyFont="1" applyBorder="1" applyAlignment="1">
      <alignment vertical="center"/>
    </xf>
    <xf numFmtId="0" fontId="0" fillId="0" borderId="0" xfId="0" applyAlignment="1">
      <alignment horizontal="center"/>
    </xf>
    <xf numFmtId="0" fontId="3" fillId="4" borderId="1" xfId="0" applyFont="1" applyFill="1" applyBorder="1" applyAlignment="1">
      <alignment horizontal="left" vertical="center"/>
    </xf>
    <xf numFmtId="0" fontId="16" fillId="3" borderId="18" xfId="0" applyFont="1" applyFill="1" applyBorder="1" applyAlignment="1">
      <alignment horizontal="center"/>
    </xf>
    <xf numFmtId="0" fontId="5" fillId="0" borderId="16" xfId="0" applyFont="1" applyBorder="1" applyAlignment="1">
      <alignment horizontal="center"/>
    </xf>
    <xf numFmtId="0" fontId="5" fillId="0" borderId="17" xfId="0" applyFont="1" applyBorder="1" applyAlignment="1">
      <alignment horizontal="center"/>
    </xf>
    <xf numFmtId="164" fontId="8" fillId="10" borderId="12" xfId="0" applyNumberFormat="1" applyFont="1" applyFill="1" applyBorder="1" applyAlignment="1" applyProtection="1">
      <alignment horizontal="right"/>
      <protection locked="0"/>
    </xf>
    <xf numFmtId="165" fontId="8" fillId="10" borderId="13" xfId="0" applyNumberFormat="1" applyFont="1" applyFill="1" applyBorder="1" applyAlignment="1" applyProtection="1">
      <alignment horizontal="right"/>
      <protection locked="0"/>
    </xf>
    <xf numFmtId="3" fontId="8" fillId="10" borderId="13" xfId="0" applyNumberFormat="1" applyFont="1" applyFill="1" applyBorder="1" applyAlignment="1" applyProtection="1">
      <alignment horizontal="right"/>
      <protection locked="0"/>
    </xf>
    <xf numFmtId="166" fontId="8" fillId="10" borderId="13" xfId="0" applyNumberFormat="1" applyFont="1" applyFill="1" applyBorder="1" applyAlignment="1" applyProtection="1">
      <alignment horizontal="right"/>
      <protection locked="0"/>
    </xf>
    <xf numFmtId="164" fontId="8" fillId="10" borderId="13" xfId="0" applyNumberFormat="1" applyFont="1" applyFill="1" applyBorder="1" applyAlignment="1" applyProtection="1">
      <alignment horizontal="right"/>
      <protection locked="0"/>
    </xf>
    <xf numFmtId="0" fontId="8" fillId="10" borderId="13" xfId="0" applyFont="1" applyFill="1" applyBorder="1" applyAlignment="1" applyProtection="1">
      <alignment horizontal="right"/>
      <protection locked="0"/>
    </xf>
    <xf numFmtId="0" fontId="8" fillId="10" borderId="14" xfId="0" applyFont="1" applyFill="1" applyBorder="1" applyAlignment="1" applyProtection="1">
      <alignment horizontal="right"/>
      <protection locked="0"/>
    </xf>
  </cellXfs>
  <cellStyles count="1">
    <cellStyle name="Normal" xfId="0" builtinId="0"/>
  </cellStyles>
  <dxfs count="7">
    <dxf>
      <font>
        <b/>
        <color rgb="FF115E59"/>
      </font>
      <fill>
        <patternFill patternType="solid">
          <bgColor rgb="FFEAF2F8"/>
        </patternFill>
      </fill>
    </dxf>
    <dxf>
      <font>
        <b/>
        <color rgb="FF854D0E"/>
      </font>
      <fill>
        <patternFill patternType="solid">
          <bgColor rgb="FFFFF4CC"/>
        </patternFill>
      </fill>
    </dxf>
    <dxf>
      <font>
        <b/>
        <color rgb="FF166534"/>
      </font>
      <fill>
        <patternFill patternType="solid">
          <bgColor rgb="FFDCFCE7"/>
        </patternFill>
      </fill>
    </dxf>
    <dxf>
      <font>
        <b/>
        <color rgb="FFB91C1C"/>
      </font>
      <fill>
        <patternFill patternType="solid">
          <bgColor rgb="FFFEE2E2"/>
        </patternFill>
      </fill>
    </dxf>
    <dxf>
      <font>
        <b/>
        <color rgb="FF166534"/>
      </font>
      <fill>
        <patternFill patternType="solid">
          <bgColor rgb="FFDCFCE7"/>
        </patternFill>
      </fill>
    </dxf>
    <dxf>
      <font>
        <b/>
        <color rgb="FFB91C1C"/>
      </font>
      <fill>
        <patternFill patternType="solid">
          <bgColor rgb="FFFEE2E2"/>
        </patternFill>
      </fill>
    </dxf>
    <dxf>
      <font>
        <b/>
        <color rgb="FF166534"/>
      </font>
      <fill>
        <patternFill patternType="solid">
          <bgColor rgb="FFDCFCE7"/>
        </patternFill>
      </fill>
    </dxf>
  </dxfs>
  <tableStyles count="0" defaultTableStyle="TableStyleMedium2" defaultPivotStyle="PivotStyleLight16"/>
  <colors>
    <mruColors>
      <color rgb="FFFFF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1"/>
  <sheetViews>
    <sheetView showGridLines="0" tabSelected="1" workbookViewId="0">
      <pane ySplit="1" topLeftCell="A2" activePane="bottomLeft" state="frozen"/>
      <selection pane="bottomLeft" sqref="A1:E1"/>
    </sheetView>
  </sheetViews>
  <sheetFormatPr baseColWidth="10" defaultColWidth="8.83203125" defaultRowHeight="14"/>
  <cols>
    <col min="1" max="1" width="22" customWidth="1"/>
    <col min="2" max="2" width="28" customWidth="1"/>
    <col min="3" max="5" width="18" customWidth="1"/>
  </cols>
  <sheetData>
    <row r="1" spans="1:5" ht="34" customHeight="1">
      <c r="A1" s="34" t="s">
        <v>0</v>
      </c>
      <c r="B1" s="34"/>
      <c r="C1" s="34"/>
      <c r="D1" s="34"/>
      <c r="E1" s="34"/>
    </row>
    <row r="2" spans="1:5" ht="28" customHeight="1">
      <c r="A2" s="35" t="s">
        <v>1</v>
      </c>
      <c r="B2" s="35"/>
      <c r="C2" s="35"/>
      <c r="D2" s="35"/>
      <c r="E2" s="35"/>
    </row>
    <row r="4" spans="1:5" ht="24" customHeight="1">
      <c r="A4" s="36" t="s">
        <v>2</v>
      </c>
      <c r="B4" s="36"/>
      <c r="C4" s="36"/>
      <c r="D4" s="36"/>
      <c r="E4" s="36"/>
    </row>
    <row r="5" spans="1:5" s="49" customFormat="1" ht="22" customHeight="1">
      <c r="A5" s="47" t="s">
        <v>3</v>
      </c>
      <c r="B5" s="48" t="s">
        <v>4</v>
      </c>
      <c r="C5" s="48"/>
      <c r="D5" s="48"/>
      <c r="E5" s="48"/>
    </row>
    <row r="6" spans="1:5" s="49" customFormat="1" ht="22" customHeight="1">
      <c r="A6" s="50" t="s">
        <v>5</v>
      </c>
      <c r="B6" s="51" t="s">
        <v>6</v>
      </c>
      <c r="C6" s="51"/>
      <c r="D6" s="51"/>
      <c r="E6" s="51"/>
    </row>
    <row r="7" spans="1:5" s="49" customFormat="1" ht="22" customHeight="1">
      <c r="A7" s="50" t="s">
        <v>7</v>
      </c>
      <c r="B7" s="51" t="s">
        <v>8</v>
      </c>
      <c r="C7" s="51"/>
      <c r="D7" s="51"/>
      <c r="E7" s="51"/>
    </row>
    <row r="8" spans="1:5" s="49" customFormat="1" ht="22" customHeight="1">
      <c r="A8" s="50" t="s">
        <v>9</v>
      </c>
      <c r="B8" s="51" t="s">
        <v>10</v>
      </c>
      <c r="C8" s="51"/>
      <c r="D8" s="51"/>
      <c r="E8" s="51"/>
    </row>
    <row r="9" spans="1:5" s="49" customFormat="1" ht="22" customHeight="1">
      <c r="A9" s="52" t="s">
        <v>11</v>
      </c>
      <c r="B9" s="53" t="s">
        <v>12</v>
      </c>
      <c r="C9" s="53"/>
      <c r="D9" s="53"/>
      <c r="E9" s="53"/>
    </row>
    <row r="11" spans="1:5" ht="24" customHeight="1">
      <c r="A11" s="36" t="s">
        <v>13</v>
      </c>
      <c r="B11" s="36"/>
      <c r="C11" s="36"/>
      <c r="D11" s="36"/>
      <c r="E11" s="36"/>
    </row>
    <row r="12" spans="1:5" s="55" customFormat="1" ht="17" customHeight="1">
      <c r="A12" s="4" t="s">
        <v>14</v>
      </c>
      <c r="B12" s="54" t="s">
        <v>15</v>
      </c>
      <c r="C12" s="54"/>
      <c r="D12" s="54"/>
      <c r="E12" s="54"/>
    </row>
    <row r="13" spans="1:5" s="55" customFormat="1" ht="17" customHeight="1">
      <c r="A13" s="4" t="s">
        <v>16</v>
      </c>
      <c r="B13" s="54" t="s">
        <v>17</v>
      </c>
      <c r="C13" s="54"/>
      <c r="D13" s="54"/>
      <c r="E13" s="54"/>
    </row>
    <row r="14" spans="1:5" s="55" customFormat="1" ht="17" customHeight="1">
      <c r="A14" s="4" t="s">
        <v>18</v>
      </c>
      <c r="B14" s="54" t="s">
        <v>19</v>
      </c>
      <c r="C14" s="54"/>
      <c r="D14" s="54"/>
      <c r="E14" s="54"/>
    </row>
    <row r="15" spans="1:5" s="55" customFormat="1" ht="17" customHeight="1">
      <c r="A15" s="4" t="s">
        <v>20</v>
      </c>
      <c r="B15" s="54" t="s">
        <v>21</v>
      </c>
      <c r="C15" s="54"/>
      <c r="D15" s="54"/>
      <c r="E15" s="54"/>
    </row>
    <row r="16" spans="1:5" s="55" customFormat="1" ht="17" customHeight="1">
      <c r="A16" s="4" t="s">
        <v>22</v>
      </c>
      <c r="B16" s="54" t="s">
        <v>23</v>
      </c>
      <c r="C16" s="54"/>
      <c r="D16" s="54"/>
      <c r="E16" s="54"/>
    </row>
    <row r="18" spans="1:5" ht="24" customHeight="1">
      <c r="A18" s="36" t="s">
        <v>24</v>
      </c>
      <c r="B18" s="36"/>
      <c r="C18" s="36"/>
      <c r="D18" s="36"/>
      <c r="E18" s="36"/>
    </row>
    <row r="19" spans="1:5" s="49" customFormat="1" ht="20" customHeight="1">
      <c r="A19" s="47" t="s">
        <v>25</v>
      </c>
      <c r="B19" s="48" t="s">
        <v>26</v>
      </c>
      <c r="C19" s="48"/>
      <c r="D19" s="48"/>
      <c r="E19" s="48"/>
    </row>
    <row r="20" spans="1:5" s="49" customFormat="1" ht="20" customHeight="1">
      <c r="A20" s="50" t="s">
        <v>27</v>
      </c>
      <c r="B20" s="51" t="s">
        <v>28</v>
      </c>
      <c r="C20" s="51"/>
      <c r="D20" s="51"/>
      <c r="E20" s="51"/>
    </row>
    <row r="21" spans="1:5" s="49" customFormat="1" ht="20" customHeight="1">
      <c r="A21" s="50" t="s">
        <v>29</v>
      </c>
      <c r="B21" s="51" t="s">
        <v>30</v>
      </c>
      <c r="C21" s="51"/>
      <c r="D21" s="51"/>
      <c r="E21" s="51"/>
    </row>
    <row r="22" spans="1:5" s="49" customFormat="1" ht="20" customHeight="1">
      <c r="A22" s="50" t="s">
        <v>31</v>
      </c>
      <c r="B22" s="51" t="s">
        <v>32</v>
      </c>
      <c r="C22" s="51"/>
      <c r="D22" s="51"/>
      <c r="E22" s="51"/>
    </row>
    <row r="23" spans="1:5" s="49" customFormat="1" ht="20" customHeight="1">
      <c r="A23" s="50" t="s">
        <v>33</v>
      </c>
      <c r="B23" s="51" t="s">
        <v>34</v>
      </c>
      <c r="C23" s="51"/>
      <c r="D23" s="51"/>
      <c r="E23" s="51"/>
    </row>
    <row r="24" spans="1:5" s="49" customFormat="1" ht="20" customHeight="1">
      <c r="A24" s="50" t="s">
        <v>35</v>
      </c>
      <c r="B24" s="51" t="s">
        <v>36</v>
      </c>
      <c r="C24" s="51"/>
      <c r="D24" s="51"/>
      <c r="E24" s="51"/>
    </row>
    <row r="25" spans="1:5" s="49" customFormat="1" ht="20" customHeight="1">
      <c r="A25" s="50" t="s">
        <v>37</v>
      </c>
      <c r="B25" s="51" t="s">
        <v>38</v>
      </c>
      <c r="C25" s="51"/>
      <c r="D25" s="51"/>
      <c r="E25" s="51"/>
    </row>
    <row r="26" spans="1:5" s="49" customFormat="1" ht="20" customHeight="1">
      <c r="A26" s="52" t="s">
        <v>39</v>
      </c>
      <c r="B26" s="53" t="s">
        <v>40</v>
      </c>
      <c r="C26" s="53"/>
      <c r="D26" s="53"/>
      <c r="E26" s="53"/>
    </row>
    <row r="28" spans="1:5" ht="24" customHeight="1">
      <c r="A28" s="36" t="s">
        <v>41</v>
      </c>
      <c r="B28" s="36"/>
      <c r="C28" s="36"/>
      <c r="D28" s="36"/>
      <c r="E28" s="36"/>
    </row>
    <row r="29" spans="1:5">
      <c r="A29" s="37" t="s">
        <v>42</v>
      </c>
      <c r="B29" s="38"/>
      <c r="C29" s="38"/>
      <c r="D29" s="38"/>
      <c r="E29" s="39"/>
    </row>
    <row r="30" spans="1:5">
      <c r="A30" s="40"/>
      <c r="B30" s="41"/>
      <c r="C30" s="41"/>
      <c r="D30" s="41"/>
      <c r="E30" s="42"/>
    </row>
    <row r="31" spans="1:5">
      <c r="A31" s="43"/>
      <c r="B31" s="44"/>
      <c r="C31" s="44"/>
      <c r="D31" s="44"/>
      <c r="E31" s="45"/>
    </row>
  </sheetData>
  <sheetProtection algorithmName="SHA-512" hashValue="FjmhUaYqDQS75dG1wcscqW1H+GAsHZD3br4PmJBErh3kW+QLATrBQJreL8BdOkKKklRy+I++ZQ9HoHAggDNWMg==" saltValue="YGgnzNEMwP+oFk/BCNVcMA==" spinCount="100000" sheet="1" objects="1" scenarios="1" selectLockedCells="1" autoFilter="0"/>
  <mergeCells count="25">
    <mergeCell ref="B24:E24"/>
    <mergeCell ref="B25:E25"/>
    <mergeCell ref="B26:E26"/>
    <mergeCell ref="A28:E28"/>
    <mergeCell ref="A29:E31"/>
    <mergeCell ref="B19:E19"/>
    <mergeCell ref="B20:E20"/>
    <mergeCell ref="B21:E21"/>
    <mergeCell ref="B22:E22"/>
    <mergeCell ref="B23:E23"/>
    <mergeCell ref="B13:E13"/>
    <mergeCell ref="B14:E14"/>
    <mergeCell ref="B15:E15"/>
    <mergeCell ref="B16:E16"/>
    <mergeCell ref="A18:E18"/>
    <mergeCell ref="B7:E7"/>
    <mergeCell ref="B8:E8"/>
    <mergeCell ref="B9:E9"/>
    <mergeCell ref="A11:E11"/>
    <mergeCell ref="B12:E12"/>
    <mergeCell ref="A1:E1"/>
    <mergeCell ref="A2:E2"/>
    <mergeCell ref="A4:E4"/>
    <mergeCell ref="B5:E5"/>
    <mergeCell ref="B6:E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2"/>
  <sheetViews>
    <sheetView showGridLines="0" zoomScale="120" zoomScaleNormal="120" workbookViewId="0">
      <pane ySplit="4" topLeftCell="A5" activePane="bottomLeft" state="frozen"/>
      <selection pane="bottomLeft" activeCell="B5" sqref="B5"/>
    </sheetView>
  </sheetViews>
  <sheetFormatPr baseColWidth="10" defaultColWidth="8.83203125" defaultRowHeight="14"/>
  <cols>
    <col min="1" max="1" width="29" customWidth="1"/>
    <col min="2" max="2" width="17.83203125" customWidth="1"/>
    <col min="3" max="3" width="13.1640625" customWidth="1"/>
    <col min="4" max="4" width="50" customWidth="1"/>
    <col min="5" max="5" width="14.33203125" customWidth="1"/>
  </cols>
  <sheetData>
    <row r="1" spans="1:5" ht="34" customHeight="1">
      <c r="A1" s="34" t="s">
        <v>156</v>
      </c>
      <c r="B1" s="34"/>
      <c r="C1" s="34"/>
      <c r="D1" s="34"/>
      <c r="E1" s="34"/>
    </row>
    <row r="2" spans="1:5" ht="28" customHeight="1">
      <c r="A2" s="35" t="s">
        <v>43</v>
      </c>
      <c r="B2" s="35"/>
      <c r="C2" s="35"/>
      <c r="D2" s="35"/>
      <c r="E2" s="35"/>
    </row>
    <row r="3" spans="1:5" ht="12" customHeight="1"/>
    <row r="4" spans="1:5" ht="30">
      <c r="A4" s="5" t="s">
        <v>44</v>
      </c>
      <c r="B4" s="5" t="s">
        <v>45</v>
      </c>
      <c r="C4" s="5" t="s">
        <v>46</v>
      </c>
      <c r="D4" s="5" t="s">
        <v>47</v>
      </c>
      <c r="E4" s="5" t="s">
        <v>48</v>
      </c>
    </row>
    <row r="5" spans="1:5" ht="20" customHeight="1">
      <c r="A5" s="1" t="s">
        <v>49</v>
      </c>
      <c r="B5" s="86">
        <v>35000</v>
      </c>
      <c r="C5" s="6" t="s">
        <v>50</v>
      </c>
      <c r="D5" s="7" t="s">
        <v>51</v>
      </c>
      <c r="E5" s="8" t="str">
        <f>IF(AND(B5&gt;=1000,B5&lt;=250000),"OK","Enter $1,000–$250,000")</f>
        <v>OK</v>
      </c>
    </row>
    <row r="6" spans="1:5" ht="20" customHeight="1">
      <c r="A6" s="2" t="s">
        <v>52</v>
      </c>
      <c r="B6" s="87">
        <v>7.2499999999999995E-2</v>
      </c>
      <c r="C6" s="9" t="s">
        <v>53</v>
      </c>
      <c r="D6" s="10" t="s">
        <v>54</v>
      </c>
      <c r="E6" s="11" t="str">
        <f>IF(AND(B6&gt;=0,B6&lt;=50%),"OK","Enter 0%–50%")</f>
        <v>OK</v>
      </c>
    </row>
    <row r="7" spans="1:5" ht="20" customHeight="1">
      <c r="A7" s="2" t="s">
        <v>55</v>
      </c>
      <c r="B7" s="88">
        <v>40</v>
      </c>
      <c r="C7" s="9" t="s">
        <v>56</v>
      </c>
      <c r="D7" s="10" t="s">
        <v>57</v>
      </c>
      <c r="E7" s="11" t="str">
        <f>IF(AND(B7&gt;=12,B7&lt;=120,MOD(B7,1)=0),"OK","Enter 12–120 whole months")</f>
        <v>OK</v>
      </c>
    </row>
    <row r="8" spans="1:5" ht="20" customHeight="1">
      <c r="A8" s="2" t="s">
        <v>58</v>
      </c>
      <c r="B8" s="89">
        <v>46261</v>
      </c>
      <c r="C8" s="9" t="s">
        <v>59</v>
      </c>
      <c r="D8" s="10" t="s">
        <v>60</v>
      </c>
      <c r="E8" s="11" t="str">
        <f>IF(B8&gt;0,"OK","Enter a valid date")</f>
        <v>OK</v>
      </c>
    </row>
    <row r="9" spans="1:5" ht="20" customHeight="1">
      <c r="A9" s="2" t="s">
        <v>61</v>
      </c>
      <c r="B9" s="89">
        <v>46292</v>
      </c>
      <c r="C9" s="9" t="s">
        <v>59</v>
      </c>
      <c r="D9" s="10" t="s">
        <v>62</v>
      </c>
      <c r="E9" s="11" t="str">
        <f>IF(AND(B9&gt;B8,B9&lt;=B8+62),"OK","Use 1–62 days after start")</f>
        <v>OK</v>
      </c>
    </row>
    <row r="10" spans="1:5" ht="20" customHeight="1">
      <c r="A10" s="2" t="s">
        <v>63</v>
      </c>
      <c r="B10" s="90">
        <v>0</v>
      </c>
      <c r="C10" s="9" t="s">
        <v>64</v>
      </c>
      <c r="D10" s="10" t="s">
        <v>65</v>
      </c>
      <c r="E10" s="11" t="str">
        <f>IF(AND(B10&gt;=0,B10&lt;=10000),"OK","Enter $0–$10,000")</f>
        <v>OK</v>
      </c>
    </row>
    <row r="11" spans="1:5" ht="20" customHeight="1">
      <c r="A11" s="2" t="s">
        <v>66</v>
      </c>
      <c r="B11" s="90">
        <v>0</v>
      </c>
      <c r="C11" s="9" t="s">
        <v>64</v>
      </c>
      <c r="D11" s="10" t="s">
        <v>67</v>
      </c>
      <c r="E11" s="11" t="str">
        <f>IF(AND(B11&gt;=0,B11&lt;=500),"OK","Enter $0–$500")</f>
        <v>OK</v>
      </c>
    </row>
    <row r="12" spans="1:5" ht="20" customHeight="1">
      <c r="A12" s="2" t="s">
        <v>68</v>
      </c>
      <c r="B12" s="91" t="s">
        <v>33</v>
      </c>
      <c r="C12" s="9" t="s">
        <v>69</v>
      </c>
      <c r="D12" s="10" t="s">
        <v>70</v>
      </c>
      <c r="E12" s="11" t="str">
        <f>IF(OR(B12="Daily Simple Interest",B12="Monthly Amortization"),"OK","Choose from list")</f>
        <v>OK</v>
      </c>
    </row>
    <row r="13" spans="1:5" ht="20" customHeight="1">
      <c r="A13" s="3" t="s">
        <v>71</v>
      </c>
      <c r="B13" s="92" t="s">
        <v>72</v>
      </c>
      <c r="C13" s="12" t="s">
        <v>69</v>
      </c>
      <c r="D13" s="13" t="s">
        <v>73</v>
      </c>
      <c r="E13" s="14" t="str">
        <f>IF(OR(B13="Apply When Received",B13="Hold Until Full Monthly Payment"),"OK","Choose from list")</f>
        <v>OK</v>
      </c>
    </row>
    <row r="15" spans="1:5" ht="24" customHeight="1">
      <c r="A15" s="36" t="s">
        <v>74</v>
      </c>
      <c r="B15" s="36"/>
      <c r="C15" s="36"/>
      <c r="D15" s="36"/>
      <c r="E15" s="36"/>
    </row>
    <row r="16" spans="1:5" ht="15">
      <c r="A16" s="16" t="s">
        <v>75</v>
      </c>
      <c r="B16" s="16" t="s">
        <v>76</v>
      </c>
      <c r="C16" s="16" t="s">
        <v>46</v>
      </c>
      <c r="D16" s="16" t="s">
        <v>77</v>
      </c>
    </row>
    <row r="17" spans="1:4" ht="15">
      <c r="A17" s="17" t="s">
        <v>78</v>
      </c>
      <c r="B17" s="18">
        <v>365</v>
      </c>
      <c r="C17" s="19" t="s">
        <v>79</v>
      </c>
      <c r="D17" s="19" t="s">
        <v>80</v>
      </c>
    </row>
    <row r="18" spans="1:4" ht="15">
      <c r="A18" s="17" t="s">
        <v>81</v>
      </c>
      <c r="B18" s="18">
        <v>12</v>
      </c>
      <c r="C18" s="19" t="s">
        <v>82</v>
      </c>
      <c r="D18" s="19" t="s">
        <v>83</v>
      </c>
    </row>
    <row r="19" spans="1:4" ht="15">
      <c r="A19" s="17" t="s">
        <v>84</v>
      </c>
      <c r="B19" s="18">
        <v>24</v>
      </c>
      <c r="C19" s="19" t="s">
        <v>85</v>
      </c>
      <c r="D19" s="19" t="s">
        <v>86</v>
      </c>
    </row>
    <row r="20" spans="1:4" ht="15">
      <c r="A20" s="17" t="s">
        <v>87</v>
      </c>
      <c r="B20" s="18">
        <v>26</v>
      </c>
      <c r="C20" s="19" t="s">
        <v>85</v>
      </c>
      <c r="D20" s="19" t="s">
        <v>88</v>
      </c>
    </row>
    <row r="21" spans="1:4" ht="15">
      <c r="A21" s="17" t="s">
        <v>89</v>
      </c>
      <c r="B21" s="18">
        <v>14</v>
      </c>
      <c r="C21" s="19" t="s">
        <v>79</v>
      </c>
      <c r="D21" s="19" t="s">
        <v>90</v>
      </c>
    </row>
    <row r="22" spans="1:4" ht="15">
      <c r="A22" s="17" t="s">
        <v>91</v>
      </c>
      <c r="B22" s="18">
        <v>15</v>
      </c>
      <c r="C22" s="19" t="s">
        <v>79</v>
      </c>
      <c r="D22" s="19" t="s">
        <v>92</v>
      </c>
    </row>
  </sheetData>
  <sheetProtection algorithmName="SHA-512" hashValue="uLrHaO4aK7+aAPNTA+Pov6IxPBhNWvYm1y3EmOQlV1Oy/VPB4pZ7Jy3iGJSRw6heG3V7zdgcE2xePwCRW4+ypg==" saltValue="Q6OJWftLJ/l8AgaAclatZw==" spinCount="100000" sheet="1" objects="1" scenarios="1" selectLockedCells="1" autoFilter="0"/>
  <mergeCells count="3">
    <mergeCell ref="A1:E1"/>
    <mergeCell ref="A2:E2"/>
    <mergeCell ref="A15:E15"/>
  </mergeCells>
  <conditionalFormatting sqref="E5:E13">
    <cfRule type="containsText" dxfId="6" priority="1" operator="containsText" text="OK"/>
    <cfRule type="notContainsText" dxfId="5" priority="2" operator="notContains" text="OK"/>
  </conditionalFormatting>
  <dataValidations count="8">
    <dataValidation type="decimal" sqref="B5" xr:uid="{00000000-0002-0000-0100-000000000000}">
      <formula1>1000</formula1>
      <formula2>250000</formula2>
    </dataValidation>
    <dataValidation type="decimal" sqref="B6" xr:uid="{00000000-0002-0000-0100-000001000000}">
      <formula1>0</formula1>
      <formula2>0.5</formula2>
    </dataValidation>
    <dataValidation type="whole" sqref="B7" xr:uid="{00000000-0002-0000-0100-000002000000}">
      <formula1>12</formula1>
      <formula2>120</formula2>
    </dataValidation>
    <dataValidation type="decimal" sqref="B8:B9" xr:uid="{00000000-0002-0000-0100-000003000000}">
      <formula1>43831</formula1>
      <formula2>47482</formula2>
    </dataValidation>
    <dataValidation type="decimal" sqref="B10" xr:uid="{00000000-0002-0000-0100-000004000000}">
      <formula1>0</formula1>
      <formula2>10000</formula2>
    </dataValidation>
    <dataValidation type="decimal" sqref="B11" xr:uid="{00000000-0002-0000-0100-000005000000}">
      <formula1>0</formula1>
      <formula2>500</formula2>
    </dataValidation>
    <dataValidation type="list" sqref="B12" xr:uid="{00000000-0002-0000-0100-000006000000}">
      <formula1>"Daily Simple Interest,Monthly Amortization"</formula1>
    </dataValidation>
    <dataValidation type="list" sqref="B13" xr:uid="{00000000-0002-0000-0100-000007000000}">
      <formula1>"Apply When Received,Hold Until Full Monthly Payment"</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7"/>
  <sheetViews>
    <sheetView showGridLines="0" workbookViewId="0">
      <pane ySplit="2" topLeftCell="A3" activePane="bottomLeft" state="frozen"/>
      <selection pane="bottomLeft" activeCell="B19" sqref="B19:E19"/>
    </sheetView>
  </sheetViews>
  <sheetFormatPr baseColWidth="10" defaultColWidth="8.83203125" defaultRowHeight="14"/>
  <cols>
    <col min="1" max="1" width="32" customWidth="1"/>
    <col min="2" max="4" width="24" customWidth="1"/>
    <col min="5" max="5" width="29" customWidth="1"/>
    <col min="6" max="6" width="14" customWidth="1"/>
  </cols>
  <sheetData>
    <row r="1" spans="1:5" ht="34" customHeight="1">
      <c r="A1" s="34" t="s">
        <v>154</v>
      </c>
      <c r="B1" s="34"/>
      <c r="C1" s="34"/>
      <c r="D1" s="34"/>
      <c r="E1" s="34"/>
    </row>
    <row r="2" spans="1:5" ht="28" customHeight="1">
      <c r="A2" s="35" t="str">
        <f>"Selected interest method: "&amp;Inputs!B12&amp;" • Example inputs only — confirm lender posting rules"</f>
        <v>Selected interest method: Daily Simple Interest • Example inputs only — confirm lender posting rules</v>
      </c>
      <c r="B2" s="35"/>
      <c r="C2" s="35"/>
      <c r="D2" s="35"/>
      <c r="E2" s="35"/>
    </row>
    <row r="4" spans="1:5" ht="15">
      <c r="A4" s="20" t="s">
        <v>93</v>
      </c>
      <c r="B4" s="20" t="s">
        <v>25</v>
      </c>
      <c r="C4" s="20" t="s">
        <v>27</v>
      </c>
      <c r="D4" s="20" t="s">
        <v>29</v>
      </c>
      <c r="E4" s="20" t="s">
        <v>94</v>
      </c>
    </row>
    <row r="5" spans="1:5" s="49" customFormat="1" ht="22" customHeight="1">
      <c r="A5" s="56" t="s">
        <v>95</v>
      </c>
      <c r="B5" s="57">
        <f>ROUND(IF(Inputs!$B$6=0,Inputs!$B$5/Inputs!$B$7,Inputs!$B$5*(Inputs!$B$6/Inputs!$B$18)/(1-(1+Inputs!$B$6/Inputs!$B$18)^(-Inputs!$B$7))),2)</f>
        <v>987.61</v>
      </c>
      <c r="C5" s="57">
        <f>ROUND($B$5/2,2)</f>
        <v>493.81</v>
      </c>
      <c r="D5" s="58">
        <f>ROUND($B$5/2,2)</f>
        <v>493.81</v>
      </c>
      <c r="E5" s="59">
        <f>ROUND($B$5/2,2)</f>
        <v>493.81</v>
      </c>
    </row>
    <row r="6" spans="1:5" s="49" customFormat="1" ht="22" customHeight="1">
      <c r="A6" s="56" t="s">
        <v>96</v>
      </c>
      <c r="B6" s="60">
        <f>Inputs!$B$18</f>
        <v>12</v>
      </c>
      <c r="C6" s="60">
        <f>Inputs!$B$19</f>
        <v>24</v>
      </c>
      <c r="D6" s="61">
        <f>Inputs!$B$20</f>
        <v>26</v>
      </c>
      <c r="E6" s="62">
        <f>Inputs!$B$20</f>
        <v>26</v>
      </c>
    </row>
    <row r="7" spans="1:5" s="49" customFormat="1" ht="22" customHeight="1">
      <c r="A7" s="56" t="s">
        <v>97</v>
      </c>
      <c r="B7" s="63">
        <f>IFERROR(INDEX(Amortization!$C$7:$C$346,MATCH("PAID OFF",Amortization!$N$7:$N$346,0)),"Beyond modeled schedule")</f>
        <v>47510</v>
      </c>
      <c r="C7" s="63">
        <f>IFERROR(INDEX(Amortization!$C$347:$C$686,MATCH("PAID OFF",Amortization!$N$347:$N$686,0)),"Beyond modeled schedule")</f>
        <v>47510</v>
      </c>
      <c r="D7" s="64">
        <f>IFERROR(INDEX(Amortization!$C$687:$C$1026,MATCH("PAID OFF",Amortization!$N$687:$N$1026,0)),"Beyond modeled schedule")</f>
        <v>47398</v>
      </c>
      <c r="E7" s="65">
        <f>IFERROR(INDEX(Amortization!$C$1027:$C$1366,MATCH("PAID OFF",Amortization!$N$1027:$N$1366,0)),"Beyond modeled schedule")</f>
        <v>47398</v>
      </c>
    </row>
    <row r="8" spans="1:5" s="49" customFormat="1" ht="22" customHeight="1">
      <c r="A8" s="56" t="s">
        <v>98</v>
      </c>
      <c r="B8" s="60">
        <f>SUM(Amortization!$O$7:$O$346)</f>
        <v>41</v>
      </c>
      <c r="C8" s="60">
        <f>SUM(Amortization!$O$347:$O$686)</f>
        <v>81</v>
      </c>
      <c r="D8" s="61">
        <f>SUM(Amortization!$O$687:$O$1026)</f>
        <v>80</v>
      </c>
      <c r="E8" s="62">
        <f>SUM(Amortization!$O$1027:$O$1366)</f>
        <v>80</v>
      </c>
    </row>
    <row r="9" spans="1:5" s="49" customFormat="1" ht="22" customHeight="1">
      <c r="A9" s="56" t="s">
        <v>99</v>
      </c>
      <c r="B9" s="57">
        <f>SUM(Amortization!$H$7:$H$346)</f>
        <v>4510.5099999999993</v>
      </c>
      <c r="C9" s="57">
        <f>SUM(Amortization!$H$347:$H$686)</f>
        <v>4584.6400000000031</v>
      </c>
      <c r="D9" s="58">
        <f>SUM(Amortization!$H$687:$H$1026)</f>
        <v>4183.4799999999987</v>
      </c>
      <c r="E9" s="59">
        <f>SUM(Amortization!$H$1027:$H$1366)</f>
        <v>4237.779999999997</v>
      </c>
    </row>
    <row r="10" spans="1:5" s="49" customFormat="1" ht="22" customHeight="1">
      <c r="A10" s="56" t="s">
        <v>100</v>
      </c>
      <c r="B10" s="57">
        <f>SUM(Amortization!$J$7:$J$346)</f>
        <v>0</v>
      </c>
      <c r="C10" s="57">
        <f>SUM(Amortization!$J$347:$J$686)</f>
        <v>0</v>
      </c>
      <c r="D10" s="58">
        <f>SUM(Amortization!$J$687:$J$1026)</f>
        <v>0</v>
      </c>
      <c r="E10" s="59">
        <f>SUM(Amortization!$J$1027:$J$1366)</f>
        <v>0</v>
      </c>
    </row>
    <row r="11" spans="1:5" s="49" customFormat="1" ht="22" customHeight="1">
      <c r="A11" s="56" t="s">
        <v>101</v>
      </c>
      <c r="B11" s="57">
        <f>SUM(Amortization!$F$7:$F$346)+SUM(Amortization!$G$7:$G$346)+SUM(Amortization!$J$7:$J$346)</f>
        <v>39510.510000000017</v>
      </c>
      <c r="C11" s="57">
        <f>SUM(Amortization!$F$347:$F$686)+SUM(Amortization!$G$347:$G$686)+SUM(Amortization!$J$347:$J$686)</f>
        <v>39584.639999999999</v>
      </c>
      <c r="D11" s="58">
        <f>SUM(Amortization!$F$687:$F$1026)+SUM(Amortization!$G$687:$G$1026)+SUM(Amortization!$J$687:$J$1026)</f>
        <v>39183.480000000003</v>
      </c>
      <c r="E11" s="59">
        <f>SUM(Amortization!$F$1027:$F$1366)+SUM(Amortization!$G$1027:$G$1366)+SUM(Amortization!$J$1027:$J$1366)</f>
        <v>39237.780000000006</v>
      </c>
    </row>
    <row r="12" spans="1:5" s="49" customFormat="1" ht="22" customHeight="1">
      <c r="A12" s="56" t="s">
        <v>102</v>
      </c>
      <c r="B12" s="57">
        <f>$B$9-B9</f>
        <v>0</v>
      </c>
      <c r="C12" s="57">
        <f>$B$9-C9</f>
        <v>-74.130000000003747</v>
      </c>
      <c r="D12" s="58">
        <f>$B$9-D9</f>
        <v>327.03000000000065</v>
      </c>
      <c r="E12" s="59">
        <f>$B$9-E9</f>
        <v>272.73000000000229</v>
      </c>
    </row>
    <row r="13" spans="1:5" s="49" customFormat="1" ht="22" customHeight="1">
      <c r="A13" s="56" t="s">
        <v>103</v>
      </c>
      <c r="B13" s="66">
        <f>IFERROR($B$7-B7,0)</f>
        <v>0</v>
      </c>
      <c r="C13" s="66">
        <f>IFERROR($B$7-C7,0)</f>
        <v>0</v>
      </c>
      <c r="D13" s="67">
        <f>IFERROR($B$7-D7,0)</f>
        <v>112</v>
      </c>
      <c r="E13" s="68">
        <f>IFERROR($B$7-E7,0)</f>
        <v>112</v>
      </c>
    </row>
    <row r="15" spans="1:5" ht="24" customHeight="1">
      <c r="A15" s="36" t="s">
        <v>104</v>
      </c>
      <c r="B15" s="36"/>
      <c r="C15" s="36"/>
      <c r="D15" s="36"/>
      <c r="E15" s="36"/>
    </row>
    <row r="16" spans="1:5" s="49" customFormat="1" ht="20" customHeight="1">
      <c r="A16" s="69" t="s">
        <v>105</v>
      </c>
      <c r="B16" s="70" t="str">
        <f>Inputs!$B$13</f>
        <v>Apply When Received</v>
      </c>
      <c r="C16" s="70"/>
      <c r="D16" s="70"/>
      <c r="E16" s="70"/>
    </row>
    <row r="17" spans="1:6" s="49" customFormat="1" ht="20" customHeight="1">
      <c r="A17" s="69" t="s">
        <v>106</v>
      </c>
      <c r="B17" s="70" t="str">
        <f>IF(Inputs!$B$13="Apply When Received","True Biweekly","Biweekly Held by Lender")</f>
        <v>True Biweekly</v>
      </c>
      <c r="C17" s="70"/>
      <c r="D17" s="70"/>
      <c r="E17" s="70"/>
    </row>
    <row r="18" spans="1:6" s="49" customFormat="1" ht="20" customHeight="1">
      <c r="A18" s="69" t="s">
        <v>97</v>
      </c>
      <c r="B18" s="71">
        <f>IF(Inputs!$B$13="Apply When Received",D7,E7)</f>
        <v>47398</v>
      </c>
      <c r="C18" s="70"/>
      <c r="D18" s="70"/>
      <c r="E18" s="70"/>
    </row>
    <row r="19" spans="1:6" s="49" customFormat="1" ht="20" customHeight="1">
      <c r="A19" s="69" t="s">
        <v>99</v>
      </c>
      <c r="B19" s="72">
        <f>IF(Inputs!$B$13="Apply When Received",D9,E9)</f>
        <v>4183.4799999999987</v>
      </c>
      <c r="C19" s="70"/>
      <c r="D19" s="70"/>
      <c r="E19" s="70"/>
    </row>
    <row r="20" spans="1:6" s="49" customFormat="1" ht="20" customHeight="1">
      <c r="A20" s="69" t="s">
        <v>102</v>
      </c>
      <c r="B20" s="72">
        <f>IF(Inputs!$B$13="Apply When Received",D12,E12)</f>
        <v>327.03000000000065</v>
      </c>
      <c r="C20" s="70"/>
      <c r="D20" s="70"/>
      <c r="E20" s="70"/>
    </row>
    <row r="22" spans="1:6" ht="24" customHeight="1">
      <c r="A22" s="36" t="s">
        <v>107</v>
      </c>
      <c r="B22" s="36"/>
      <c r="C22" s="36"/>
      <c r="D22" s="36"/>
      <c r="E22" s="36"/>
    </row>
    <row r="23" spans="1:6" s="49" customFormat="1" ht="31" customHeight="1">
      <c r="A23" s="73" t="s">
        <v>108</v>
      </c>
      <c r="B23" s="74" t="s">
        <v>109</v>
      </c>
      <c r="C23" s="74" t="s">
        <v>110</v>
      </c>
      <c r="D23" s="74" t="s">
        <v>111</v>
      </c>
      <c r="E23" s="74" t="s">
        <v>112</v>
      </c>
    </row>
    <row r="24" spans="1:6" s="49" customFormat="1" ht="31" customHeight="1">
      <c r="A24" s="75" t="s">
        <v>113</v>
      </c>
      <c r="B24" s="76" t="s">
        <v>114</v>
      </c>
      <c r="C24" s="76" t="s">
        <v>115</v>
      </c>
      <c r="D24" s="76" t="s">
        <v>116</v>
      </c>
      <c r="E24" s="76" t="s">
        <v>117</v>
      </c>
    </row>
    <row r="25" spans="1:6" s="49" customFormat="1" ht="31" customHeight="1">
      <c r="A25" s="77" t="s">
        <v>118</v>
      </c>
      <c r="B25" s="78" t="s">
        <v>119</v>
      </c>
      <c r="C25" s="78" t="s">
        <v>120</v>
      </c>
      <c r="D25" s="78" t="s">
        <v>121</v>
      </c>
      <c r="E25" s="78" t="s">
        <v>122</v>
      </c>
    </row>
    <row r="28" spans="1:6" ht="24" customHeight="1">
      <c r="A28" s="82" t="s">
        <v>123</v>
      </c>
      <c r="B28" s="82"/>
      <c r="C28" s="82"/>
      <c r="D28" s="82"/>
      <c r="E28" s="82"/>
      <c r="F28" s="82"/>
    </row>
    <row r="29" spans="1:6" ht="15">
      <c r="A29" s="16" t="s">
        <v>124</v>
      </c>
      <c r="B29" s="16" t="s">
        <v>125</v>
      </c>
      <c r="C29" s="16" t="s">
        <v>126</v>
      </c>
      <c r="D29" s="16" t="s">
        <v>127</v>
      </c>
      <c r="E29" s="16" t="s">
        <v>128</v>
      </c>
      <c r="F29" s="16" t="s">
        <v>129</v>
      </c>
    </row>
    <row r="30" spans="1:6" s="49" customFormat="1" ht="17" customHeight="1">
      <c r="A30" s="79" t="s">
        <v>130</v>
      </c>
      <c r="B30" s="80">
        <f>ROUND(Inputs!$B$5-SUM(Amortization!$I$7:$I$346),2)</f>
        <v>0</v>
      </c>
      <c r="C30" s="80">
        <v>0</v>
      </c>
      <c r="D30" s="80">
        <f t="shared" ref="D30:D37" si="0">B30-C30</f>
        <v>0</v>
      </c>
      <c r="E30" s="80">
        <v>0.01</v>
      </c>
      <c r="F30" s="79" t="str">
        <f t="shared" ref="F30:F37" si="1">IF(ABS(D30)&lt;=E30,"OK","REVIEW")</f>
        <v>OK</v>
      </c>
    </row>
    <row r="31" spans="1:6" s="49" customFormat="1" ht="17" customHeight="1">
      <c r="A31" s="79" t="s">
        <v>131</v>
      </c>
      <c r="B31" s="80">
        <f>ROUND(Inputs!$B$5-SUM(Amortization!$I$347:$I$686),2)</f>
        <v>0</v>
      </c>
      <c r="C31" s="80">
        <v>0</v>
      </c>
      <c r="D31" s="80">
        <f t="shared" si="0"/>
        <v>0</v>
      </c>
      <c r="E31" s="80">
        <v>0.01</v>
      </c>
      <c r="F31" s="79" t="str">
        <f t="shared" si="1"/>
        <v>OK</v>
      </c>
    </row>
    <row r="32" spans="1:6" s="49" customFormat="1" ht="17" customHeight="1">
      <c r="A32" s="79" t="s">
        <v>132</v>
      </c>
      <c r="B32" s="80">
        <f>ROUND(Inputs!$B$5-SUM(Amortization!$I$687:$I$1026),2)</f>
        <v>0</v>
      </c>
      <c r="C32" s="80">
        <v>0</v>
      </c>
      <c r="D32" s="80">
        <f t="shared" si="0"/>
        <v>0</v>
      </c>
      <c r="E32" s="80">
        <v>0.01</v>
      </c>
      <c r="F32" s="79" t="str">
        <f t="shared" si="1"/>
        <v>OK</v>
      </c>
    </row>
    <row r="33" spans="1:6" s="49" customFormat="1" ht="17" customHeight="1">
      <c r="A33" s="79" t="s">
        <v>133</v>
      </c>
      <c r="B33" s="80">
        <f>ROUND(Inputs!$B$5-SUM(Amortization!$I$1027:$I$1366),2)</f>
        <v>0</v>
      </c>
      <c r="C33" s="80">
        <v>0</v>
      </c>
      <c r="D33" s="80">
        <f t="shared" si="0"/>
        <v>0</v>
      </c>
      <c r="E33" s="80">
        <v>0.01</v>
      </c>
      <c r="F33" s="79" t="str">
        <f t="shared" si="1"/>
        <v>OK</v>
      </c>
    </row>
    <row r="34" spans="1:6" s="49" customFormat="1" ht="17" customHeight="1">
      <c r="A34" s="79" t="s">
        <v>134</v>
      </c>
      <c r="B34" s="80">
        <f>ROUND(SUM(Amortization!$F$7:$F$346)+SUM(Amortization!$G$7:$G$346)-SUM(Amortization!$H$7:$H$346)-SUM(Amortization!$I$7:$I$346),2)</f>
        <v>0</v>
      </c>
      <c r="C34" s="80">
        <v>0</v>
      </c>
      <c r="D34" s="80">
        <f t="shared" si="0"/>
        <v>0</v>
      </c>
      <c r="E34" s="80">
        <v>0.02</v>
      </c>
      <c r="F34" s="79" t="str">
        <f t="shared" si="1"/>
        <v>OK</v>
      </c>
    </row>
    <row r="35" spans="1:6" s="49" customFormat="1" ht="17" customHeight="1">
      <c r="A35" s="79" t="s">
        <v>135</v>
      </c>
      <c r="B35" s="80">
        <f>ROUND(SUM(Amortization!$F$347:$F$686)+SUM(Amortization!$G$347:$G$686)-SUM(Amortization!$H$347:$H$686)-SUM(Amortization!$I$347:$I$686),2)</f>
        <v>0</v>
      </c>
      <c r="C35" s="80">
        <v>0</v>
      </c>
      <c r="D35" s="80">
        <f t="shared" si="0"/>
        <v>0</v>
      </c>
      <c r="E35" s="80">
        <v>0.02</v>
      </c>
      <c r="F35" s="79" t="str">
        <f t="shared" si="1"/>
        <v>OK</v>
      </c>
    </row>
    <row r="36" spans="1:6" s="49" customFormat="1" ht="17" customHeight="1">
      <c r="A36" s="79" t="s">
        <v>136</v>
      </c>
      <c r="B36" s="80">
        <f>ROUND(SUM(Amortization!$F$687:$F$1026)+SUM(Amortization!$G$687:$G$1026)-SUM(Amortization!$H$687:$H$1026)-SUM(Amortization!$I$687:$I$1026),2)</f>
        <v>0</v>
      </c>
      <c r="C36" s="80">
        <v>0</v>
      </c>
      <c r="D36" s="80">
        <f t="shared" si="0"/>
        <v>0</v>
      </c>
      <c r="E36" s="80">
        <v>0.02</v>
      </c>
      <c r="F36" s="79" t="str">
        <f t="shared" si="1"/>
        <v>OK</v>
      </c>
    </row>
    <row r="37" spans="1:6" s="49" customFormat="1" ht="17" customHeight="1">
      <c r="A37" s="79" t="s">
        <v>137</v>
      </c>
      <c r="B37" s="80">
        <f>ROUND(SUM(Amortization!$F$1027:$F$1366)+SUM(Amortization!$G$1027:$G$1366)-SUM(Amortization!$H$1027:$H$1366)-SUM(Amortization!$I$1027:$I$1366),2)</f>
        <v>0</v>
      </c>
      <c r="C37" s="80">
        <v>0</v>
      </c>
      <c r="D37" s="80">
        <f t="shared" si="0"/>
        <v>0</v>
      </c>
      <c r="E37" s="80">
        <v>0.02</v>
      </c>
      <c r="F37" s="79" t="str">
        <f t="shared" si="1"/>
        <v>OK</v>
      </c>
    </row>
  </sheetData>
  <sheetProtection algorithmName="SHA-512" hashValue="wPxCVqQ4AQmQjIQVp0jaek+zIjBZujvPPFrkZ0XU7XBXrXUwSloFq5YagzoVPlInOufIKWPdOGHuEZhAGhkX1A==" saltValue="KXyjwHdbnQSKqhyxzkVVOw==" spinCount="100000" sheet="1" objects="1" scenarios="1" selectLockedCells="1" autoFilter="0"/>
  <mergeCells count="10">
    <mergeCell ref="B18:E18"/>
    <mergeCell ref="B19:E19"/>
    <mergeCell ref="B20:E20"/>
    <mergeCell ref="A22:E22"/>
    <mergeCell ref="A28:F28"/>
    <mergeCell ref="A1:E1"/>
    <mergeCell ref="A2:E2"/>
    <mergeCell ref="A15:E15"/>
    <mergeCell ref="B16:E16"/>
    <mergeCell ref="B17:E17"/>
  </mergeCells>
  <conditionalFormatting sqref="F30:F37">
    <cfRule type="containsText" dxfId="4" priority="1" operator="containsText" text="OK"/>
    <cfRule type="containsText" dxfId="3" priority="2" operator="containsText" text="REVIEW"/>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366"/>
  <sheetViews>
    <sheetView showGridLines="0" workbookViewId="0">
      <pane ySplit="6" topLeftCell="A7" activePane="bottomLeft" state="frozen"/>
      <selection pane="bottomLeft" activeCell="D10" sqref="D10"/>
    </sheetView>
  </sheetViews>
  <sheetFormatPr baseColWidth="10" defaultColWidth="8.83203125" defaultRowHeight="14"/>
  <cols>
    <col min="1" max="1" width="10.6640625" customWidth="1"/>
    <col min="2" max="2" width="9.5" customWidth="1"/>
    <col min="3" max="3" width="14" customWidth="1"/>
    <col min="4" max="6" width="16" customWidth="1"/>
    <col min="7" max="7" width="15" customWidth="1"/>
    <col min="8" max="8" width="14" customWidth="1"/>
    <col min="9" max="9" width="16" customWidth="1"/>
    <col min="10" max="10" width="14" customWidth="1"/>
    <col min="11" max="11" width="16" customWidth="1"/>
    <col min="12" max="13" width="15" customWidth="1"/>
    <col min="14" max="14" width="12.1640625" style="81" customWidth="1"/>
    <col min="15" max="15" width="11" customWidth="1"/>
  </cols>
  <sheetData>
    <row r="1" spans="1:15" ht="34" customHeight="1">
      <c r="A1" s="34" t="s">
        <v>155</v>
      </c>
      <c r="B1" s="34"/>
      <c r="C1" s="34"/>
      <c r="D1" s="34"/>
      <c r="E1" s="34"/>
      <c r="F1" s="34"/>
      <c r="G1" s="34"/>
      <c r="H1" s="34"/>
      <c r="I1" s="34"/>
      <c r="J1" s="34"/>
      <c r="K1" s="34"/>
      <c r="L1" s="34"/>
      <c r="M1" s="34"/>
      <c r="N1" s="34"/>
      <c r="O1" s="34"/>
    </row>
    <row r="2" spans="1:15" ht="30" customHeight="1">
      <c r="A2" s="35" t="s">
        <v>138</v>
      </c>
      <c r="B2" s="35"/>
      <c r="C2" s="35"/>
      <c r="D2" s="35"/>
      <c r="E2" s="35"/>
      <c r="F2" s="35"/>
      <c r="G2" s="35"/>
      <c r="H2" s="35"/>
      <c r="I2" s="35"/>
      <c r="J2" s="35"/>
      <c r="K2" s="35"/>
      <c r="L2" s="35"/>
      <c r="M2" s="35"/>
      <c r="N2" s="35"/>
      <c r="O2" s="35"/>
    </row>
    <row r="4" spans="1:15" ht="15">
      <c r="A4" s="15" t="s">
        <v>68</v>
      </c>
      <c r="B4" s="46" t="str">
        <f>Inputs!$B$12</f>
        <v>Daily Simple Interest</v>
      </c>
      <c r="C4" s="46"/>
      <c r="D4" s="46"/>
    </row>
    <row r="5" spans="1:15" ht="10" customHeight="1"/>
    <row r="6" spans="1:15" ht="38" customHeight="1">
      <c r="A6" s="21" t="s">
        <v>139</v>
      </c>
      <c r="B6" s="21" t="s">
        <v>140</v>
      </c>
      <c r="C6" s="21" t="s">
        <v>141</v>
      </c>
      <c r="D6" s="21" t="s">
        <v>142</v>
      </c>
      <c r="E6" s="21" t="s">
        <v>143</v>
      </c>
      <c r="F6" s="21" t="s">
        <v>144</v>
      </c>
      <c r="G6" s="21" t="s">
        <v>145</v>
      </c>
      <c r="H6" s="21" t="s">
        <v>146</v>
      </c>
      <c r="I6" s="21" t="s">
        <v>147</v>
      </c>
      <c r="J6" s="21" t="s">
        <v>148</v>
      </c>
      <c r="K6" s="21" t="s">
        <v>149</v>
      </c>
      <c r="L6" s="21" t="s">
        <v>150</v>
      </c>
      <c r="M6" s="21" t="s">
        <v>151</v>
      </c>
      <c r="N6" s="21" t="s">
        <v>152</v>
      </c>
      <c r="O6" s="21" t="s">
        <v>153</v>
      </c>
    </row>
    <row r="7" spans="1:15" ht="20" customHeight="1">
      <c r="A7" s="30" t="str">
        <f t="shared" ref="A7:A70" si="0">IF($E7="","","Monthly")</f>
        <v>Monthly</v>
      </c>
      <c r="B7" s="31">
        <f>IF($E7="","",1)</f>
        <v>1</v>
      </c>
      <c r="C7" s="32">
        <f>Inputs!$B$9</f>
        <v>46292</v>
      </c>
      <c r="D7" s="31">
        <f>IF($E7="","",$C7-Inputs!$B$8)</f>
        <v>31</v>
      </c>
      <c r="E7" s="33">
        <f>Inputs!$B$5</f>
        <v>35000</v>
      </c>
      <c r="F7" s="33">
        <f>IF($E7="","",ROUND(MIN(Comparison!$B$5,MAX(0,$E7+$H7)),2))</f>
        <v>987.61</v>
      </c>
      <c r="G7" s="33">
        <f>IF($E7="","",ROUND(MIN(Inputs!$B$10,MAX(0,$E7+$H7-$F7)),2))</f>
        <v>0</v>
      </c>
      <c r="H7" s="33">
        <f>IF($E7="","",ROUND(IF(Inputs!$B$12="Daily Simple Interest",$E7*Inputs!$B$6/Inputs!$B$17*$D7,$E7*Inputs!$B$6/Inputs!$B$18),2))</f>
        <v>215.51</v>
      </c>
      <c r="I7" s="33">
        <f t="shared" ref="I7:I70" si="1">IF($E7="","",ROUND($F7+$G7-$H7,2))</f>
        <v>772.1</v>
      </c>
      <c r="J7" s="33">
        <f>IF($E7="","",IF($F7+$G7&gt;0,Inputs!$B$11,0))</f>
        <v>0</v>
      </c>
      <c r="K7" s="33">
        <f t="shared" ref="K7:K70" si="2">IF($E7="","",ROUND(MAX(0,$E7-$I7),2))</f>
        <v>34227.9</v>
      </c>
      <c r="L7" s="33">
        <f t="shared" ref="L7:L70" si="3">IF($E7="","",$F7+$G7)</f>
        <v>987.61</v>
      </c>
      <c r="M7" s="33">
        <f t="shared" ref="M7:M70" si="4">IF($E7="","",0)</f>
        <v>0</v>
      </c>
      <c r="N7" s="83" t="str">
        <f t="shared" ref="N7:N70" si="5">IF($E7="","",IF($K7&lt;=0.005,"PAID OFF","ACTIVE"))</f>
        <v>ACTIVE</v>
      </c>
      <c r="O7" s="31">
        <f t="shared" ref="O7:O70" si="6">IF($E7="","",IF($F7+$G7&gt;0,1,0))</f>
        <v>1</v>
      </c>
    </row>
    <row r="8" spans="1:15" ht="20" customHeight="1">
      <c r="A8" s="22" t="str">
        <f t="shared" si="0"/>
        <v>Monthly</v>
      </c>
      <c r="B8" s="23">
        <f>IF($E8="","",2)</f>
        <v>2</v>
      </c>
      <c r="C8" s="24">
        <f t="shared" ref="C8:C71" si="7">IF($E8="","",EDATE($C7,1))</f>
        <v>46322</v>
      </c>
      <c r="D8" s="23">
        <f t="shared" ref="D8:D71" si="8">IF($E8="","",$C8-$C7)</f>
        <v>30</v>
      </c>
      <c r="E8" s="25">
        <f t="shared" ref="E8:E71" si="9">IF($K7&gt;0.005,$K7,"")</f>
        <v>34227.9</v>
      </c>
      <c r="F8" s="25">
        <f>IF($E8="","",ROUND(MIN(Comparison!$B$5,MAX(0,$E8+$H8)),2))</f>
        <v>987.61</v>
      </c>
      <c r="G8" s="25">
        <f>IF($E8="","",ROUND(MIN(Inputs!$B$10,MAX(0,$E8+$H8-$F8)),2))</f>
        <v>0</v>
      </c>
      <c r="H8" s="25">
        <f>IF($E8="","",ROUND(IF(Inputs!$B$12="Daily Simple Interest",$E8*Inputs!$B$6/Inputs!$B$17*$D8,$E8*Inputs!$B$6/Inputs!$B$18),2))</f>
        <v>203.96</v>
      </c>
      <c r="I8" s="25">
        <f t="shared" si="1"/>
        <v>783.65</v>
      </c>
      <c r="J8" s="25">
        <f>IF($E8="","",IF($F8+$G8&gt;0,Inputs!$B$11,0))</f>
        <v>0</v>
      </c>
      <c r="K8" s="25">
        <f t="shared" si="2"/>
        <v>33444.25</v>
      </c>
      <c r="L8" s="25">
        <f t="shared" si="3"/>
        <v>987.61</v>
      </c>
      <c r="M8" s="25">
        <f t="shared" si="4"/>
        <v>0</v>
      </c>
      <c r="N8" s="84" t="str">
        <f t="shared" si="5"/>
        <v>ACTIVE</v>
      </c>
      <c r="O8" s="23">
        <f t="shared" si="6"/>
        <v>1</v>
      </c>
    </row>
    <row r="9" spans="1:15" ht="20" customHeight="1">
      <c r="A9" s="22" t="str">
        <f t="shared" si="0"/>
        <v>Monthly</v>
      </c>
      <c r="B9" s="23">
        <f>IF($E9="","",3)</f>
        <v>3</v>
      </c>
      <c r="C9" s="24">
        <f t="shared" si="7"/>
        <v>46353</v>
      </c>
      <c r="D9" s="23">
        <f t="shared" si="8"/>
        <v>31</v>
      </c>
      <c r="E9" s="25">
        <f t="shared" si="9"/>
        <v>33444.25</v>
      </c>
      <c r="F9" s="25">
        <f>IF($E9="","",ROUND(MIN(Comparison!$B$5,MAX(0,$E9+$H9)),2))</f>
        <v>987.61</v>
      </c>
      <c r="G9" s="25">
        <f>IF($E9="","",ROUND(MIN(Inputs!$B$10,MAX(0,$E9+$H9-$F9)),2))</f>
        <v>0</v>
      </c>
      <c r="H9" s="25">
        <f>IF($E9="","",ROUND(IF(Inputs!$B$12="Daily Simple Interest",$E9*Inputs!$B$6/Inputs!$B$17*$D9,$E9*Inputs!$B$6/Inputs!$B$18),2))</f>
        <v>205.93</v>
      </c>
      <c r="I9" s="25">
        <f t="shared" si="1"/>
        <v>781.68</v>
      </c>
      <c r="J9" s="25">
        <f>IF($E9="","",IF($F9+$G9&gt;0,Inputs!$B$11,0))</f>
        <v>0</v>
      </c>
      <c r="K9" s="25">
        <f t="shared" si="2"/>
        <v>32662.57</v>
      </c>
      <c r="L9" s="25">
        <f t="shared" si="3"/>
        <v>987.61</v>
      </c>
      <c r="M9" s="25">
        <f t="shared" si="4"/>
        <v>0</v>
      </c>
      <c r="N9" s="84" t="str">
        <f t="shared" si="5"/>
        <v>ACTIVE</v>
      </c>
      <c r="O9" s="23">
        <f t="shared" si="6"/>
        <v>1</v>
      </c>
    </row>
    <row r="10" spans="1:15" ht="20" customHeight="1">
      <c r="A10" s="22" t="str">
        <f t="shared" si="0"/>
        <v>Monthly</v>
      </c>
      <c r="B10" s="23">
        <f>IF($E10="","",4)</f>
        <v>4</v>
      </c>
      <c r="C10" s="24">
        <f t="shared" si="7"/>
        <v>46383</v>
      </c>
      <c r="D10" s="23">
        <f t="shared" si="8"/>
        <v>30</v>
      </c>
      <c r="E10" s="25">
        <f t="shared" si="9"/>
        <v>32662.57</v>
      </c>
      <c r="F10" s="25">
        <f>IF($E10="","",ROUND(MIN(Comparison!$B$5,MAX(0,$E10+$H10)),2))</f>
        <v>987.61</v>
      </c>
      <c r="G10" s="25">
        <f>IF($E10="","",ROUND(MIN(Inputs!$B$10,MAX(0,$E10+$H10-$F10)),2))</f>
        <v>0</v>
      </c>
      <c r="H10" s="25">
        <f>IF($E10="","",ROUND(IF(Inputs!$B$12="Daily Simple Interest",$E10*Inputs!$B$6/Inputs!$B$17*$D10,$E10*Inputs!$B$6/Inputs!$B$18),2))</f>
        <v>194.63</v>
      </c>
      <c r="I10" s="25">
        <f t="shared" si="1"/>
        <v>792.98</v>
      </c>
      <c r="J10" s="25">
        <f>IF($E10="","",IF($F10+$G10&gt;0,Inputs!$B$11,0))</f>
        <v>0</v>
      </c>
      <c r="K10" s="25">
        <f t="shared" si="2"/>
        <v>31869.59</v>
      </c>
      <c r="L10" s="25">
        <f t="shared" si="3"/>
        <v>987.61</v>
      </c>
      <c r="M10" s="25">
        <f t="shared" si="4"/>
        <v>0</v>
      </c>
      <c r="N10" s="84" t="str">
        <f t="shared" si="5"/>
        <v>ACTIVE</v>
      </c>
      <c r="O10" s="23">
        <f t="shared" si="6"/>
        <v>1</v>
      </c>
    </row>
    <row r="11" spans="1:15" ht="20" customHeight="1">
      <c r="A11" s="22" t="str">
        <f t="shared" si="0"/>
        <v>Monthly</v>
      </c>
      <c r="B11" s="23">
        <f>IF($E11="","",5)</f>
        <v>5</v>
      </c>
      <c r="C11" s="24">
        <f t="shared" si="7"/>
        <v>46414</v>
      </c>
      <c r="D11" s="23">
        <f t="shared" si="8"/>
        <v>31</v>
      </c>
      <c r="E11" s="25">
        <f t="shared" si="9"/>
        <v>31869.59</v>
      </c>
      <c r="F11" s="25">
        <f>IF($E11="","",ROUND(MIN(Comparison!$B$5,MAX(0,$E11+$H11)),2))</f>
        <v>987.61</v>
      </c>
      <c r="G11" s="25">
        <f>IF($E11="","",ROUND(MIN(Inputs!$B$10,MAX(0,$E11+$H11-$F11)),2))</f>
        <v>0</v>
      </c>
      <c r="H11" s="25">
        <f>IF($E11="","",ROUND(IF(Inputs!$B$12="Daily Simple Interest",$E11*Inputs!$B$6/Inputs!$B$17*$D11,$E11*Inputs!$B$6/Inputs!$B$18),2))</f>
        <v>196.24</v>
      </c>
      <c r="I11" s="25">
        <f t="shared" si="1"/>
        <v>791.37</v>
      </c>
      <c r="J11" s="25">
        <f>IF($E11="","",IF($F11+$G11&gt;0,Inputs!$B$11,0))</f>
        <v>0</v>
      </c>
      <c r="K11" s="25">
        <f t="shared" si="2"/>
        <v>31078.22</v>
      </c>
      <c r="L11" s="25">
        <f t="shared" si="3"/>
        <v>987.61</v>
      </c>
      <c r="M11" s="25">
        <f t="shared" si="4"/>
        <v>0</v>
      </c>
      <c r="N11" s="84" t="str">
        <f t="shared" si="5"/>
        <v>ACTIVE</v>
      </c>
      <c r="O11" s="23">
        <f t="shared" si="6"/>
        <v>1</v>
      </c>
    </row>
    <row r="12" spans="1:15" ht="20" customHeight="1">
      <c r="A12" s="22" t="str">
        <f t="shared" si="0"/>
        <v>Monthly</v>
      </c>
      <c r="B12" s="23">
        <f>IF($E12="","",6)</f>
        <v>6</v>
      </c>
      <c r="C12" s="24">
        <f t="shared" si="7"/>
        <v>46445</v>
      </c>
      <c r="D12" s="23">
        <f t="shared" si="8"/>
        <v>31</v>
      </c>
      <c r="E12" s="25">
        <f t="shared" si="9"/>
        <v>31078.22</v>
      </c>
      <c r="F12" s="25">
        <f>IF($E12="","",ROUND(MIN(Comparison!$B$5,MAX(0,$E12+$H12)),2))</f>
        <v>987.61</v>
      </c>
      <c r="G12" s="25">
        <f>IF($E12="","",ROUND(MIN(Inputs!$B$10,MAX(0,$E12+$H12-$F12)),2))</f>
        <v>0</v>
      </c>
      <c r="H12" s="25">
        <f>IF($E12="","",ROUND(IF(Inputs!$B$12="Daily Simple Interest",$E12*Inputs!$B$6/Inputs!$B$17*$D12,$E12*Inputs!$B$6/Inputs!$B$18),2))</f>
        <v>191.37</v>
      </c>
      <c r="I12" s="25">
        <f t="shared" si="1"/>
        <v>796.24</v>
      </c>
      <c r="J12" s="25">
        <f>IF($E12="","",IF($F12+$G12&gt;0,Inputs!$B$11,0))</f>
        <v>0</v>
      </c>
      <c r="K12" s="25">
        <f t="shared" si="2"/>
        <v>30281.98</v>
      </c>
      <c r="L12" s="25">
        <f t="shared" si="3"/>
        <v>987.61</v>
      </c>
      <c r="M12" s="25">
        <f t="shared" si="4"/>
        <v>0</v>
      </c>
      <c r="N12" s="84" t="str">
        <f t="shared" si="5"/>
        <v>ACTIVE</v>
      </c>
      <c r="O12" s="23">
        <f t="shared" si="6"/>
        <v>1</v>
      </c>
    </row>
    <row r="13" spans="1:15" ht="20" customHeight="1">
      <c r="A13" s="22" t="str">
        <f t="shared" si="0"/>
        <v>Monthly</v>
      </c>
      <c r="B13" s="23">
        <f>IF($E13="","",7)</f>
        <v>7</v>
      </c>
      <c r="C13" s="24">
        <f t="shared" si="7"/>
        <v>46473</v>
      </c>
      <c r="D13" s="23">
        <f t="shared" si="8"/>
        <v>28</v>
      </c>
      <c r="E13" s="25">
        <f t="shared" si="9"/>
        <v>30281.98</v>
      </c>
      <c r="F13" s="25">
        <f>IF($E13="","",ROUND(MIN(Comparison!$B$5,MAX(0,$E13+$H13)),2))</f>
        <v>987.61</v>
      </c>
      <c r="G13" s="25">
        <f>IF($E13="","",ROUND(MIN(Inputs!$B$10,MAX(0,$E13+$H13-$F13)),2))</f>
        <v>0</v>
      </c>
      <c r="H13" s="25">
        <f>IF($E13="","",ROUND(IF(Inputs!$B$12="Daily Simple Interest",$E13*Inputs!$B$6/Inputs!$B$17*$D13,$E13*Inputs!$B$6/Inputs!$B$18),2))</f>
        <v>168.42</v>
      </c>
      <c r="I13" s="25">
        <f t="shared" si="1"/>
        <v>819.19</v>
      </c>
      <c r="J13" s="25">
        <f>IF($E13="","",IF($F13+$G13&gt;0,Inputs!$B$11,0))</f>
        <v>0</v>
      </c>
      <c r="K13" s="25">
        <f t="shared" si="2"/>
        <v>29462.79</v>
      </c>
      <c r="L13" s="25">
        <f t="shared" si="3"/>
        <v>987.61</v>
      </c>
      <c r="M13" s="25">
        <f t="shared" si="4"/>
        <v>0</v>
      </c>
      <c r="N13" s="84" t="str">
        <f t="shared" si="5"/>
        <v>ACTIVE</v>
      </c>
      <c r="O13" s="23">
        <f t="shared" si="6"/>
        <v>1</v>
      </c>
    </row>
    <row r="14" spans="1:15" ht="20" customHeight="1">
      <c r="A14" s="22" t="str">
        <f t="shared" si="0"/>
        <v>Monthly</v>
      </c>
      <c r="B14" s="23">
        <f>IF($E14="","",8)</f>
        <v>8</v>
      </c>
      <c r="C14" s="24">
        <f t="shared" si="7"/>
        <v>46504</v>
      </c>
      <c r="D14" s="23">
        <f t="shared" si="8"/>
        <v>31</v>
      </c>
      <c r="E14" s="25">
        <f t="shared" si="9"/>
        <v>29462.79</v>
      </c>
      <c r="F14" s="25">
        <f>IF($E14="","",ROUND(MIN(Comparison!$B$5,MAX(0,$E14+$H14)),2))</f>
        <v>987.61</v>
      </c>
      <c r="G14" s="25">
        <f>IF($E14="","",ROUND(MIN(Inputs!$B$10,MAX(0,$E14+$H14-$F14)),2))</f>
        <v>0</v>
      </c>
      <c r="H14" s="25">
        <f>IF($E14="","",ROUND(IF(Inputs!$B$12="Daily Simple Interest",$E14*Inputs!$B$6/Inputs!$B$17*$D14,$E14*Inputs!$B$6/Inputs!$B$18),2))</f>
        <v>181.42</v>
      </c>
      <c r="I14" s="25">
        <f t="shared" si="1"/>
        <v>806.19</v>
      </c>
      <c r="J14" s="25">
        <f>IF($E14="","",IF($F14+$G14&gt;0,Inputs!$B$11,0))</f>
        <v>0</v>
      </c>
      <c r="K14" s="25">
        <f t="shared" si="2"/>
        <v>28656.6</v>
      </c>
      <c r="L14" s="25">
        <f t="shared" si="3"/>
        <v>987.61</v>
      </c>
      <c r="M14" s="25">
        <f t="shared" si="4"/>
        <v>0</v>
      </c>
      <c r="N14" s="84" t="str">
        <f t="shared" si="5"/>
        <v>ACTIVE</v>
      </c>
      <c r="O14" s="23">
        <f t="shared" si="6"/>
        <v>1</v>
      </c>
    </row>
    <row r="15" spans="1:15" ht="20" customHeight="1">
      <c r="A15" s="22" t="str">
        <f t="shared" si="0"/>
        <v>Monthly</v>
      </c>
      <c r="B15" s="23">
        <f>IF($E15="","",9)</f>
        <v>9</v>
      </c>
      <c r="C15" s="24">
        <f t="shared" si="7"/>
        <v>46534</v>
      </c>
      <c r="D15" s="23">
        <f t="shared" si="8"/>
        <v>30</v>
      </c>
      <c r="E15" s="25">
        <f t="shared" si="9"/>
        <v>28656.6</v>
      </c>
      <c r="F15" s="25">
        <f>IF($E15="","",ROUND(MIN(Comparison!$B$5,MAX(0,$E15+$H15)),2))</f>
        <v>987.61</v>
      </c>
      <c r="G15" s="25">
        <f>IF($E15="","",ROUND(MIN(Inputs!$B$10,MAX(0,$E15+$H15-$F15)),2))</f>
        <v>0</v>
      </c>
      <c r="H15" s="25">
        <f>IF($E15="","",ROUND(IF(Inputs!$B$12="Daily Simple Interest",$E15*Inputs!$B$6/Inputs!$B$17*$D15,$E15*Inputs!$B$6/Inputs!$B$18),2))</f>
        <v>170.76</v>
      </c>
      <c r="I15" s="25">
        <f t="shared" si="1"/>
        <v>816.85</v>
      </c>
      <c r="J15" s="25">
        <f>IF($E15="","",IF($F15+$G15&gt;0,Inputs!$B$11,0))</f>
        <v>0</v>
      </c>
      <c r="K15" s="25">
        <f t="shared" si="2"/>
        <v>27839.75</v>
      </c>
      <c r="L15" s="25">
        <f t="shared" si="3"/>
        <v>987.61</v>
      </c>
      <c r="M15" s="25">
        <f t="shared" si="4"/>
        <v>0</v>
      </c>
      <c r="N15" s="84" t="str">
        <f t="shared" si="5"/>
        <v>ACTIVE</v>
      </c>
      <c r="O15" s="23">
        <f t="shared" si="6"/>
        <v>1</v>
      </c>
    </row>
    <row r="16" spans="1:15" ht="20" customHeight="1">
      <c r="A16" s="22" t="str">
        <f t="shared" si="0"/>
        <v>Monthly</v>
      </c>
      <c r="B16" s="23">
        <f>IF($E16="","",10)</f>
        <v>10</v>
      </c>
      <c r="C16" s="24">
        <f t="shared" si="7"/>
        <v>46565</v>
      </c>
      <c r="D16" s="23">
        <f t="shared" si="8"/>
        <v>31</v>
      </c>
      <c r="E16" s="25">
        <f t="shared" si="9"/>
        <v>27839.75</v>
      </c>
      <c r="F16" s="25">
        <f>IF($E16="","",ROUND(MIN(Comparison!$B$5,MAX(0,$E16+$H16)),2))</f>
        <v>987.61</v>
      </c>
      <c r="G16" s="25">
        <f>IF($E16="","",ROUND(MIN(Inputs!$B$10,MAX(0,$E16+$H16-$F16)),2))</f>
        <v>0</v>
      </c>
      <c r="H16" s="25">
        <f>IF($E16="","",ROUND(IF(Inputs!$B$12="Daily Simple Interest",$E16*Inputs!$B$6/Inputs!$B$17*$D16,$E16*Inputs!$B$6/Inputs!$B$18),2))</f>
        <v>171.42</v>
      </c>
      <c r="I16" s="25">
        <f t="shared" si="1"/>
        <v>816.19</v>
      </c>
      <c r="J16" s="25">
        <f>IF($E16="","",IF($F16+$G16&gt;0,Inputs!$B$11,0))</f>
        <v>0</v>
      </c>
      <c r="K16" s="25">
        <f t="shared" si="2"/>
        <v>27023.56</v>
      </c>
      <c r="L16" s="25">
        <f t="shared" si="3"/>
        <v>987.61</v>
      </c>
      <c r="M16" s="25">
        <f t="shared" si="4"/>
        <v>0</v>
      </c>
      <c r="N16" s="84" t="str">
        <f t="shared" si="5"/>
        <v>ACTIVE</v>
      </c>
      <c r="O16" s="23">
        <f t="shared" si="6"/>
        <v>1</v>
      </c>
    </row>
    <row r="17" spans="1:15" ht="20" customHeight="1">
      <c r="A17" s="22" t="str">
        <f t="shared" si="0"/>
        <v>Monthly</v>
      </c>
      <c r="B17" s="23">
        <f>IF($E17="","",11)</f>
        <v>11</v>
      </c>
      <c r="C17" s="24">
        <f t="shared" si="7"/>
        <v>46595</v>
      </c>
      <c r="D17" s="23">
        <f t="shared" si="8"/>
        <v>30</v>
      </c>
      <c r="E17" s="25">
        <f t="shared" si="9"/>
        <v>27023.56</v>
      </c>
      <c r="F17" s="25">
        <f>IF($E17="","",ROUND(MIN(Comparison!$B$5,MAX(0,$E17+$H17)),2))</f>
        <v>987.61</v>
      </c>
      <c r="G17" s="25">
        <f>IF($E17="","",ROUND(MIN(Inputs!$B$10,MAX(0,$E17+$H17-$F17)),2))</f>
        <v>0</v>
      </c>
      <c r="H17" s="25">
        <f>IF($E17="","",ROUND(IF(Inputs!$B$12="Daily Simple Interest",$E17*Inputs!$B$6/Inputs!$B$17*$D17,$E17*Inputs!$B$6/Inputs!$B$18),2))</f>
        <v>161.03</v>
      </c>
      <c r="I17" s="25">
        <f t="shared" si="1"/>
        <v>826.58</v>
      </c>
      <c r="J17" s="25">
        <f>IF($E17="","",IF($F17+$G17&gt;0,Inputs!$B$11,0))</f>
        <v>0</v>
      </c>
      <c r="K17" s="25">
        <f t="shared" si="2"/>
        <v>26196.98</v>
      </c>
      <c r="L17" s="25">
        <f t="shared" si="3"/>
        <v>987.61</v>
      </c>
      <c r="M17" s="25">
        <f t="shared" si="4"/>
        <v>0</v>
      </c>
      <c r="N17" s="84" t="str">
        <f t="shared" si="5"/>
        <v>ACTIVE</v>
      </c>
      <c r="O17" s="23">
        <f t="shared" si="6"/>
        <v>1</v>
      </c>
    </row>
    <row r="18" spans="1:15" ht="20" customHeight="1">
      <c r="A18" s="22" t="str">
        <f t="shared" si="0"/>
        <v>Monthly</v>
      </c>
      <c r="B18" s="23">
        <f>IF($E18="","",12)</f>
        <v>12</v>
      </c>
      <c r="C18" s="24">
        <f t="shared" si="7"/>
        <v>46626</v>
      </c>
      <c r="D18" s="23">
        <f t="shared" si="8"/>
        <v>31</v>
      </c>
      <c r="E18" s="25">
        <f t="shared" si="9"/>
        <v>26196.98</v>
      </c>
      <c r="F18" s="25">
        <f>IF($E18="","",ROUND(MIN(Comparison!$B$5,MAX(0,$E18+$H18)),2))</f>
        <v>987.61</v>
      </c>
      <c r="G18" s="25">
        <f>IF($E18="","",ROUND(MIN(Inputs!$B$10,MAX(0,$E18+$H18-$F18)),2))</f>
        <v>0</v>
      </c>
      <c r="H18" s="25">
        <f>IF($E18="","",ROUND(IF(Inputs!$B$12="Daily Simple Interest",$E18*Inputs!$B$6/Inputs!$B$17*$D18,$E18*Inputs!$B$6/Inputs!$B$18),2))</f>
        <v>161.31</v>
      </c>
      <c r="I18" s="25">
        <f t="shared" si="1"/>
        <v>826.3</v>
      </c>
      <c r="J18" s="25">
        <f>IF($E18="","",IF($F18+$G18&gt;0,Inputs!$B$11,0))</f>
        <v>0</v>
      </c>
      <c r="K18" s="25">
        <f t="shared" si="2"/>
        <v>25370.68</v>
      </c>
      <c r="L18" s="25">
        <f t="shared" si="3"/>
        <v>987.61</v>
      </c>
      <c r="M18" s="25">
        <f t="shared" si="4"/>
        <v>0</v>
      </c>
      <c r="N18" s="84" t="str">
        <f t="shared" si="5"/>
        <v>ACTIVE</v>
      </c>
      <c r="O18" s="23">
        <f t="shared" si="6"/>
        <v>1</v>
      </c>
    </row>
    <row r="19" spans="1:15" ht="20" customHeight="1">
      <c r="A19" s="22" t="str">
        <f t="shared" si="0"/>
        <v>Monthly</v>
      </c>
      <c r="B19" s="23">
        <f>IF($E19="","",13)</f>
        <v>13</v>
      </c>
      <c r="C19" s="24">
        <f t="shared" si="7"/>
        <v>46657</v>
      </c>
      <c r="D19" s="23">
        <f t="shared" si="8"/>
        <v>31</v>
      </c>
      <c r="E19" s="25">
        <f t="shared" si="9"/>
        <v>25370.68</v>
      </c>
      <c r="F19" s="25">
        <f>IF($E19="","",ROUND(MIN(Comparison!$B$5,MAX(0,$E19+$H19)),2))</f>
        <v>987.61</v>
      </c>
      <c r="G19" s="25">
        <f>IF($E19="","",ROUND(MIN(Inputs!$B$10,MAX(0,$E19+$H19-$F19)),2))</f>
        <v>0</v>
      </c>
      <c r="H19" s="25">
        <f>IF($E19="","",ROUND(IF(Inputs!$B$12="Daily Simple Interest",$E19*Inputs!$B$6/Inputs!$B$17*$D19,$E19*Inputs!$B$6/Inputs!$B$18),2))</f>
        <v>156.22</v>
      </c>
      <c r="I19" s="25">
        <f t="shared" si="1"/>
        <v>831.39</v>
      </c>
      <c r="J19" s="25">
        <f>IF($E19="","",IF($F19+$G19&gt;0,Inputs!$B$11,0))</f>
        <v>0</v>
      </c>
      <c r="K19" s="25">
        <f t="shared" si="2"/>
        <v>24539.29</v>
      </c>
      <c r="L19" s="25">
        <f t="shared" si="3"/>
        <v>987.61</v>
      </c>
      <c r="M19" s="25">
        <f t="shared" si="4"/>
        <v>0</v>
      </c>
      <c r="N19" s="84" t="str">
        <f t="shared" si="5"/>
        <v>ACTIVE</v>
      </c>
      <c r="O19" s="23">
        <f t="shared" si="6"/>
        <v>1</v>
      </c>
    </row>
    <row r="20" spans="1:15" ht="20" customHeight="1">
      <c r="A20" s="22" t="str">
        <f t="shared" si="0"/>
        <v>Monthly</v>
      </c>
      <c r="B20" s="23">
        <f>IF($E20="","",14)</f>
        <v>14</v>
      </c>
      <c r="C20" s="24">
        <f t="shared" si="7"/>
        <v>46687</v>
      </c>
      <c r="D20" s="23">
        <f t="shared" si="8"/>
        <v>30</v>
      </c>
      <c r="E20" s="25">
        <f t="shared" si="9"/>
        <v>24539.29</v>
      </c>
      <c r="F20" s="25">
        <f>IF($E20="","",ROUND(MIN(Comparison!$B$5,MAX(0,$E20+$H20)),2))</f>
        <v>987.61</v>
      </c>
      <c r="G20" s="25">
        <f>IF($E20="","",ROUND(MIN(Inputs!$B$10,MAX(0,$E20+$H20-$F20)),2))</f>
        <v>0</v>
      </c>
      <c r="H20" s="25">
        <f>IF($E20="","",ROUND(IF(Inputs!$B$12="Daily Simple Interest",$E20*Inputs!$B$6/Inputs!$B$17*$D20,$E20*Inputs!$B$6/Inputs!$B$18),2))</f>
        <v>146.22999999999999</v>
      </c>
      <c r="I20" s="25">
        <f t="shared" si="1"/>
        <v>841.38</v>
      </c>
      <c r="J20" s="25">
        <f>IF($E20="","",IF($F20+$G20&gt;0,Inputs!$B$11,0))</f>
        <v>0</v>
      </c>
      <c r="K20" s="25">
        <f t="shared" si="2"/>
        <v>23697.91</v>
      </c>
      <c r="L20" s="25">
        <f t="shared" si="3"/>
        <v>987.61</v>
      </c>
      <c r="M20" s="25">
        <f t="shared" si="4"/>
        <v>0</v>
      </c>
      <c r="N20" s="84" t="str">
        <f t="shared" si="5"/>
        <v>ACTIVE</v>
      </c>
      <c r="O20" s="23">
        <f t="shared" si="6"/>
        <v>1</v>
      </c>
    </row>
    <row r="21" spans="1:15" ht="20" customHeight="1">
      <c r="A21" s="22" t="str">
        <f t="shared" si="0"/>
        <v>Monthly</v>
      </c>
      <c r="B21" s="23">
        <f>IF($E21="","",15)</f>
        <v>15</v>
      </c>
      <c r="C21" s="24">
        <f t="shared" si="7"/>
        <v>46718</v>
      </c>
      <c r="D21" s="23">
        <f t="shared" si="8"/>
        <v>31</v>
      </c>
      <c r="E21" s="25">
        <f t="shared" si="9"/>
        <v>23697.91</v>
      </c>
      <c r="F21" s="25">
        <f>IF($E21="","",ROUND(MIN(Comparison!$B$5,MAX(0,$E21+$H21)),2))</f>
        <v>987.61</v>
      </c>
      <c r="G21" s="25">
        <f>IF($E21="","",ROUND(MIN(Inputs!$B$10,MAX(0,$E21+$H21-$F21)),2))</f>
        <v>0</v>
      </c>
      <c r="H21" s="25">
        <f>IF($E21="","",ROUND(IF(Inputs!$B$12="Daily Simple Interest",$E21*Inputs!$B$6/Inputs!$B$17*$D21,$E21*Inputs!$B$6/Inputs!$B$18),2))</f>
        <v>145.91999999999999</v>
      </c>
      <c r="I21" s="25">
        <f t="shared" si="1"/>
        <v>841.69</v>
      </c>
      <c r="J21" s="25">
        <f>IF($E21="","",IF($F21+$G21&gt;0,Inputs!$B$11,0))</f>
        <v>0</v>
      </c>
      <c r="K21" s="25">
        <f t="shared" si="2"/>
        <v>22856.22</v>
      </c>
      <c r="L21" s="25">
        <f t="shared" si="3"/>
        <v>987.61</v>
      </c>
      <c r="M21" s="25">
        <f t="shared" si="4"/>
        <v>0</v>
      </c>
      <c r="N21" s="84" t="str">
        <f t="shared" si="5"/>
        <v>ACTIVE</v>
      </c>
      <c r="O21" s="23">
        <f t="shared" si="6"/>
        <v>1</v>
      </c>
    </row>
    <row r="22" spans="1:15" ht="20" customHeight="1">
      <c r="A22" s="22" t="str">
        <f t="shared" si="0"/>
        <v>Monthly</v>
      </c>
      <c r="B22" s="23">
        <f>IF($E22="","",16)</f>
        <v>16</v>
      </c>
      <c r="C22" s="24">
        <f t="shared" si="7"/>
        <v>46748</v>
      </c>
      <c r="D22" s="23">
        <f t="shared" si="8"/>
        <v>30</v>
      </c>
      <c r="E22" s="25">
        <f t="shared" si="9"/>
        <v>22856.22</v>
      </c>
      <c r="F22" s="25">
        <f>IF($E22="","",ROUND(MIN(Comparison!$B$5,MAX(0,$E22+$H22)),2))</f>
        <v>987.61</v>
      </c>
      <c r="G22" s="25">
        <f>IF($E22="","",ROUND(MIN(Inputs!$B$10,MAX(0,$E22+$H22-$F22)),2))</f>
        <v>0</v>
      </c>
      <c r="H22" s="25">
        <f>IF($E22="","",ROUND(IF(Inputs!$B$12="Daily Simple Interest",$E22*Inputs!$B$6/Inputs!$B$17*$D22,$E22*Inputs!$B$6/Inputs!$B$18),2))</f>
        <v>136.19999999999999</v>
      </c>
      <c r="I22" s="25">
        <f t="shared" si="1"/>
        <v>851.41</v>
      </c>
      <c r="J22" s="25">
        <f>IF($E22="","",IF($F22+$G22&gt;0,Inputs!$B$11,0))</f>
        <v>0</v>
      </c>
      <c r="K22" s="25">
        <f t="shared" si="2"/>
        <v>22004.81</v>
      </c>
      <c r="L22" s="25">
        <f t="shared" si="3"/>
        <v>987.61</v>
      </c>
      <c r="M22" s="25">
        <f t="shared" si="4"/>
        <v>0</v>
      </c>
      <c r="N22" s="84" t="str">
        <f t="shared" si="5"/>
        <v>ACTIVE</v>
      </c>
      <c r="O22" s="23">
        <f t="shared" si="6"/>
        <v>1</v>
      </c>
    </row>
    <row r="23" spans="1:15" ht="20" customHeight="1">
      <c r="A23" s="22" t="str">
        <f t="shared" si="0"/>
        <v>Monthly</v>
      </c>
      <c r="B23" s="23">
        <f>IF($E23="","",17)</f>
        <v>17</v>
      </c>
      <c r="C23" s="24">
        <f t="shared" si="7"/>
        <v>46779</v>
      </c>
      <c r="D23" s="23">
        <f t="shared" si="8"/>
        <v>31</v>
      </c>
      <c r="E23" s="25">
        <f t="shared" si="9"/>
        <v>22004.81</v>
      </c>
      <c r="F23" s="25">
        <f>IF($E23="","",ROUND(MIN(Comparison!$B$5,MAX(0,$E23+$H23)),2))</f>
        <v>987.61</v>
      </c>
      <c r="G23" s="25">
        <f>IF($E23="","",ROUND(MIN(Inputs!$B$10,MAX(0,$E23+$H23-$F23)),2))</f>
        <v>0</v>
      </c>
      <c r="H23" s="25">
        <f>IF($E23="","",ROUND(IF(Inputs!$B$12="Daily Simple Interest",$E23*Inputs!$B$6/Inputs!$B$17*$D23,$E23*Inputs!$B$6/Inputs!$B$18),2))</f>
        <v>135.5</v>
      </c>
      <c r="I23" s="25">
        <f t="shared" si="1"/>
        <v>852.11</v>
      </c>
      <c r="J23" s="25">
        <f>IF($E23="","",IF($F23+$G23&gt;0,Inputs!$B$11,0))</f>
        <v>0</v>
      </c>
      <c r="K23" s="25">
        <f t="shared" si="2"/>
        <v>21152.7</v>
      </c>
      <c r="L23" s="25">
        <f t="shared" si="3"/>
        <v>987.61</v>
      </c>
      <c r="M23" s="25">
        <f t="shared" si="4"/>
        <v>0</v>
      </c>
      <c r="N23" s="84" t="str">
        <f t="shared" si="5"/>
        <v>ACTIVE</v>
      </c>
      <c r="O23" s="23">
        <f t="shared" si="6"/>
        <v>1</v>
      </c>
    </row>
    <row r="24" spans="1:15" ht="20" customHeight="1">
      <c r="A24" s="22" t="str">
        <f t="shared" si="0"/>
        <v>Monthly</v>
      </c>
      <c r="B24" s="23">
        <f>IF($E24="","",18)</f>
        <v>18</v>
      </c>
      <c r="C24" s="24">
        <f t="shared" si="7"/>
        <v>46810</v>
      </c>
      <c r="D24" s="23">
        <f t="shared" si="8"/>
        <v>31</v>
      </c>
      <c r="E24" s="25">
        <f t="shared" si="9"/>
        <v>21152.7</v>
      </c>
      <c r="F24" s="25">
        <f>IF($E24="","",ROUND(MIN(Comparison!$B$5,MAX(0,$E24+$H24)),2))</f>
        <v>987.61</v>
      </c>
      <c r="G24" s="25">
        <f>IF($E24="","",ROUND(MIN(Inputs!$B$10,MAX(0,$E24+$H24-$F24)),2))</f>
        <v>0</v>
      </c>
      <c r="H24" s="25">
        <f>IF($E24="","",ROUND(IF(Inputs!$B$12="Daily Simple Interest",$E24*Inputs!$B$6/Inputs!$B$17*$D24,$E24*Inputs!$B$6/Inputs!$B$18),2))</f>
        <v>130.25</v>
      </c>
      <c r="I24" s="25">
        <f t="shared" si="1"/>
        <v>857.36</v>
      </c>
      <c r="J24" s="25">
        <f>IF($E24="","",IF($F24+$G24&gt;0,Inputs!$B$11,0))</f>
        <v>0</v>
      </c>
      <c r="K24" s="25">
        <f t="shared" si="2"/>
        <v>20295.34</v>
      </c>
      <c r="L24" s="25">
        <f t="shared" si="3"/>
        <v>987.61</v>
      </c>
      <c r="M24" s="25">
        <f t="shared" si="4"/>
        <v>0</v>
      </c>
      <c r="N24" s="84" t="str">
        <f t="shared" si="5"/>
        <v>ACTIVE</v>
      </c>
      <c r="O24" s="23">
        <f t="shared" si="6"/>
        <v>1</v>
      </c>
    </row>
    <row r="25" spans="1:15" ht="20" customHeight="1">
      <c r="A25" s="22" t="str">
        <f t="shared" si="0"/>
        <v>Monthly</v>
      </c>
      <c r="B25" s="23">
        <f>IF($E25="","",19)</f>
        <v>19</v>
      </c>
      <c r="C25" s="24">
        <f t="shared" si="7"/>
        <v>46839</v>
      </c>
      <c r="D25" s="23">
        <f t="shared" si="8"/>
        <v>29</v>
      </c>
      <c r="E25" s="25">
        <f t="shared" si="9"/>
        <v>20295.34</v>
      </c>
      <c r="F25" s="25">
        <f>IF($E25="","",ROUND(MIN(Comparison!$B$5,MAX(0,$E25+$H25)),2))</f>
        <v>987.61</v>
      </c>
      <c r="G25" s="25">
        <f>IF($E25="","",ROUND(MIN(Inputs!$B$10,MAX(0,$E25+$H25-$F25)),2))</f>
        <v>0</v>
      </c>
      <c r="H25" s="25">
        <f>IF($E25="","",ROUND(IF(Inputs!$B$12="Daily Simple Interest",$E25*Inputs!$B$6/Inputs!$B$17*$D25,$E25*Inputs!$B$6/Inputs!$B$18),2))</f>
        <v>116.91</v>
      </c>
      <c r="I25" s="25">
        <f t="shared" si="1"/>
        <v>870.7</v>
      </c>
      <c r="J25" s="25">
        <f>IF($E25="","",IF($F25+$G25&gt;0,Inputs!$B$11,0))</f>
        <v>0</v>
      </c>
      <c r="K25" s="25">
        <f t="shared" si="2"/>
        <v>19424.64</v>
      </c>
      <c r="L25" s="25">
        <f t="shared" si="3"/>
        <v>987.61</v>
      </c>
      <c r="M25" s="25">
        <f t="shared" si="4"/>
        <v>0</v>
      </c>
      <c r="N25" s="84" t="str">
        <f t="shared" si="5"/>
        <v>ACTIVE</v>
      </c>
      <c r="O25" s="23">
        <f t="shared" si="6"/>
        <v>1</v>
      </c>
    </row>
    <row r="26" spans="1:15" ht="20" customHeight="1">
      <c r="A26" s="22" t="str">
        <f t="shared" si="0"/>
        <v>Monthly</v>
      </c>
      <c r="B26" s="23">
        <f>IF($E26="","",20)</f>
        <v>20</v>
      </c>
      <c r="C26" s="24">
        <f t="shared" si="7"/>
        <v>46870</v>
      </c>
      <c r="D26" s="23">
        <f t="shared" si="8"/>
        <v>31</v>
      </c>
      <c r="E26" s="25">
        <f t="shared" si="9"/>
        <v>19424.64</v>
      </c>
      <c r="F26" s="25">
        <f>IF($E26="","",ROUND(MIN(Comparison!$B$5,MAX(0,$E26+$H26)),2))</f>
        <v>987.61</v>
      </c>
      <c r="G26" s="25">
        <f>IF($E26="","",ROUND(MIN(Inputs!$B$10,MAX(0,$E26+$H26-$F26)),2))</f>
        <v>0</v>
      </c>
      <c r="H26" s="25">
        <f>IF($E26="","",ROUND(IF(Inputs!$B$12="Daily Simple Interest",$E26*Inputs!$B$6/Inputs!$B$17*$D26,$E26*Inputs!$B$6/Inputs!$B$18),2))</f>
        <v>119.61</v>
      </c>
      <c r="I26" s="25">
        <f t="shared" si="1"/>
        <v>868</v>
      </c>
      <c r="J26" s="25">
        <f>IF($E26="","",IF($F26+$G26&gt;0,Inputs!$B$11,0))</f>
        <v>0</v>
      </c>
      <c r="K26" s="25">
        <f t="shared" si="2"/>
        <v>18556.64</v>
      </c>
      <c r="L26" s="25">
        <f t="shared" si="3"/>
        <v>987.61</v>
      </c>
      <c r="M26" s="25">
        <f t="shared" si="4"/>
        <v>0</v>
      </c>
      <c r="N26" s="84" t="str">
        <f t="shared" si="5"/>
        <v>ACTIVE</v>
      </c>
      <c r="O26" s="23">
        <f t="shared" si="6"/>
        <v>1</v>
      </c>
    </row>
    <row r="27" spans="1:15" ht="20" customHeight="1">
      <c r="A27" s="22" t="str">
        <f t="shared" si="0"/>
        <v>Monthly</v>
      </c>
      <c r="B27" s="23">
        <f>IF($E27="","",21)</f>
        <v>21</v>
      </c>
      <c r="C27" s="24">
        <f t="shared" si="7"/>
        <v>46900</v>
      </c>
      <c r="D27" s="23">
        <f t="shared" si="8"/>
        <v>30</v>
      </c>
      <c r="E27" s="25">
        <f t="shared" si="9"/>
        <v>18556.64</v>
      </c>
      <c r="F27" s="25">
        <f>IF($E27="","",ROUND(MIN(Comparison!$B$5,MAX(0,$E27+$H27)),2))</f>
        <v>987.61</v>
      </c>
      <c r="G27" s="25">
        <f>IF($E27="","",ROUND(MIN(Inputs!$B$10,MAX(0,$E27+$H27-$F27)),2))</f>
        <v>0</v>
      </c>
      <c r="H27" s="25">
        <f>IF($E27="","",ROUND(IF(Inputs!$B$12="Daily Simple Interest",$E27*Inputs!$B$6/Inputs!$B$17*$D27,$E27*Inputs!$B$6/Inputs!$B$18),2))</f>
        <v>110.58</v>
      </c>
      <c r="I27" s="25">
        <f t="shared" si="1"/>
        <v>877.03</v>
      </c>
      <c r="J27" s="25">
        <f>IF($E27="","",IF($F27+$G27&gt;0,Inputs!$B$11,0))</f>
        <v>0</v>
      </c>
      <c r="K27" s="25">
        <f t="shared" si="2"/>
        <v>17679.61</v>
      </c>
      <c r="L27" s="25">
        <f t="shared" si="3"/>
        <v>987.61</v>
      </c>
      <c r="M27" s="25">
        <f t="shared" si="4"/>
        <v>0</v>
      </c>
      <c r="N27" s="84" t="str">
        <f t="shared" si="5"/>
        <v>ACTIVE</v>
      </c>
      <c r="O27" s="23">
        <f t="shared" si="6"/>
        <v>1</v>
      </c>
    </row>
    <row r="28" spans="1:15" ht="20" customHeight="1">
      <c r="A28" s="22" t="str">
        <f t="shared" si="0"/>
        <v>Monthly</v>
      </c>
      <c r="B28" s="23">
        <f>IF($E28="","",22)</f>
        <v>22</v>
      </c>
      <c r="C28" s="24">
        <f t="shared" si="7"/>
        <v>46931</v>
      </c>
      <c r="D28" s="23">
        <f t="shared" si="8"/>
        <v>31</v>
      </c>
      <c r="E28" s="25">
        <f t="shared" si="9"/>
        <v>17679.61</v>
      </c>
      <c r="F28" s="25">
        <f>IF($E28="","",ROUND(MIN(Comparison!$B$5,MAX(0,$E28+$H28)),2))</f>
        <v>987.61</v>
      </c>
      <c r="G28" s="25">
        <f>IF($E28="","",ROUND(MIN(Inputs!$B$10,MAX(0,$E28+$H28-$F28)),2))</f>
        <v>0</v>
      </c>
      <c r="H28" s="25">
        <f>IF($E28="","",ROUND(IF(Inputs!$B$12="Daily Simple Interest",$E28*Inputs!$B$6/Inputs!$B$17*$D28,$E28*Inputs!$B$6/Inputs!$B$18),2))</f>
        <v>108.86</v>
      </c>
      <c r="I28" s="25">
        <f t="shared" si="1"/>
        <v>878.75</v>
      </c>
      <c r="J28" s="25">
        <f>IF($E28="","",IF($F28+$G28&gt;0,Inputs!$B$11,0))</f>
        <v>0</v>
      </c>
      <c r="K28" s="25">
        <f t="shared" si="2"/>
        <v>16800.86</v>
      </c>
      <c r="L28" s="25">
        <f t="shared" si="3"/>
        <v>987.61</v>
      </c>
      <c r="M28" s="25">
        <f t="shared" si="4"/>
        <v>0</v>
      </c>
      <c r="N28" s="84" t="str">
        <f t="shared" si="5"/>
        <v>ACTIVE</v>
      </c>
      <c r="O28" s="23">
        <f t="shared" si="6"/>
        <v>1</v>
      </c>
    </row>
    <row r="29" spans="1:15" ht="20" customHeight="1">
      <c r="A29" s="22" t="str">
        <f t="shared" si="0"/>
        <v>Monthly</v>
      </c>
      <c r="B29" s="23">
        <f>IF($E29="","",23)</f>
        <v>23</v>
      </c>
      <c r="C29" s="24">
        <f t="shared" si="7"/>
        <v>46961</v>
      </c>
      <c r="D29" s="23">
        <f t="shared" si="8"/>
        <v>30</v>
      </c>
      <c r="E29" s="25">
        <f t="shared" si="9"/>
        <v>16800.86</v>
      </c>
      <c r="F29" s="25">
        <f>IF($E29="","",ROUND(MIN(Comparison!$B$5,MAX(0,$E29+$H29)),2))</f>
        <v>987.61</v>
      </c>
      <c r="G29" s="25">
        <f>IF($E29="","",ROUND(MIN(Inputs!$B$10,MAX(0,$E29+$H29-$F29)),2))</f>
        <v>0</v>
      </c>
      <c r="H29" s="25">
        <f>IF($E29="","",ROUND(IF(Inputs!$B$12="Daily Simple Interest",$E29*Inputs!$B$6/Inputs!$B$17*$D29,$E29*Inputs!$B$6/Inputs!$B$18),2))</f>
        <v>100.11</v>
      </c>
      <c r="I29" s="25">
        <f t="shared" si="1"/>
        <v>887.5</v>
      </c>
      <c r="J29" s="25">
        <f>IF($E29="","",IF($F29+$G29&gt;0,Inputs!$B$11,0))</f>
        <v>0</v>
      </c>
      <c r="K29" s="25">
        <f t="shared" si="2"/>
        <v>15913.36</v>
      </c>
      <c r="L29" s="25">
        <f t="shared" si="3"/>
        <v>987.61</v>
      </c>
      <c r="M29" s="25">
        <f t="shared" si="4"/>
        <v>0</v>
      </c>
      <c r="N29" s="84" t="str">
        <f t="shared" si="5"/>
        <v>ACTIVE</v>
      </c>
      <c r="O29" s="23">
        <f t="shared" si="6"/>
        <v>1</v>
      </c>
    </row>
    <row r="30" spans="1:15" ht="20" customHeight="1">
      <c r="A30" s="22" t="str">
        <f t="shared" si="0"/>
        <v>Monthly</v>
      </c>
      <c r="B30" s="23">
        <f>IF($E30="","",24)</f>
        <v>24</v>
      </c>
      <c r="C30" s="24">
        <f t="shared" si="7"/>
        <v>46992</v>
      </c>
      <c r="D30" s="23">
        <f t="shared" si="8"/>
        <v>31</v>
      </c>
      <c r="E30" s="25">
        <f t="shared" si="9"/>
        <v>15913.36</v>
      </c>
      <c r="F30" s="25">
        <f>IF($E30="","",ROUND(MIN(Comparison!$B$5,MAX(0,$E30+$H30)),2))</f>
        <v>987.61</v>
      </c>
      <c r="G30" s="25">
        <f>IF($E30="","",ROUND(MIN(Inputs!$B$10,MAX(0,$E30+$H30-$F30)),2))</f>
        <v>0</v>
      </c>
      <c r="H30" s="25">
        <f>IF($E30="","",ROUND(IF(Inputs!$B$12="Daily Simple Interest",$E30*Inputs!$B$6/Inputs!$B$17*$D30,$E30*Inputs!$B$6/Inputs!$B$18),2))</f>
        <v>97.99</v>
      </c>
      <c r="I30" s="25">
        <f t="shared" si="1"/>
        <v>889.62</v>
      </c>
      <c r="J30" s="25">
        <f>IF($E30="","",IF($F30+$G30&gt;0,Inputs!$B$11,0))</f>
        <v>0</v>
      </c>
      <c r="K30" s="25">
        <f t="shared" si="2"/>
        <v>15023.74</v>
      </c>
      <c r="L30" s="25">
        <f t="shared" si="3"/>
        <v>987.61</v>
      </c>
      <c r="M30" s="25">
        <f t="shared" si="4"/>
        <v>0</v>
      </c>
      <c r="N30" s="84" t="str">
        <f t="shared" si="5"/>
        <v>ACTIVE</v>
      </c>
      <c r="O30" s="23">
        <f t="shared" si="6"/>
        <v>1</v>
      </c>
    </row>
    <row r="31" spans="1:15" ht="20" customHeight="1">
      <c r="A31" s="22" t="str">
        <f t="shared" si="0"/>
        <v>Monthly</v>
      </c>
      <c r="B31" s="23">
        <f>IF($E31="","",25)</f>
        <v>25</v>
      </c>
      <c r="C31" s="24">
        <f t="shared" si="7"/>
        <v>47023</v>
      </c>
      <c r="D31" s="23">
        <f t="shared" si="8"/>
        <v>31</v>
      </c>
      <c r="E31" s="25">
        <f t="shared" si="9"/>
        <v>15023.74</v>
      </c>
      <c r="F31" s="25">
        <f>IF($E31="","",ROUND(MIN(Comparison!$B$5,MAX(0,$E31+$H31)),2))</f>
        <v>987.61</v>
      </c>
      <c r="G31" s="25">
        <f>IF($E31="","",ROUND(MIN(Inputs!$B$10,MAX(0,$E31+$H31-$F31)),2))</f>
        <v>0</v>
      </c>
      <c r="H31" s="25">
        <f>IF($E31="","",ROUND(IF(Inputs!$B$12="Daily Simple Interest",$E31*Inputs!$B$6/Inputs!$B$17*$D31,$E31*Inputs!$B$6/Inputs!$B$18),2))</f>
        <v>92.51</v>
      </c>
      <c r="I31" s="25">
        <f t="shared" si="1"/>
        <v>895.1</v>
      </c>
      <c r="J31" s="25">
        <f>IF($E31="","",IF($F31+$G31&gt;0,Inputs!$B$11,0))</f>
        <v>0</v>
      </c>
      <c r="K31" s="25">
        <f t="shared" si="2"/>
        <v>14128.64</v>
      </c>
      <c r="L31" s="25">
        <f t="shared" si="3"/>
        <v>987.61</v>
      </c>
      <c r="M31" s="25">
        <f t="shared" si="4"/>
        <v>0</v>
      </c>
      <c r="N31" s="84" t="str">
        <f t="shared" si="5"/>
        <v>ACTIVE</v>
      </c>
      <c r="O31" s="23">
        <f t="shared" si="6"/>
        <v>1</v>
      </c>
    </row>
    <row r="32" spans="1:15" ht="20" customHeight="1">
      <c r="A32" s="22" t="str">
        <f t="shared" si="0"/>
        <v>Monthly</v>
      </c>
      <c r="B32" s="23">
        <f>IF($E32="","",26)</f>
        <v>26</v>
      </c>
      <c r="C32" s="24">
        <f t="shared" si="7"/>
        <v>47053</v>
      </c>
      <c r="D32" s="23">
        <f t="shared" si="8"/>
        <v>30</v>
      </c>
      <c r="E32" s="25">
        <f t="shared" si="9"/>
        <v>14128.64</v>
      </c>
      <c r="F32" s="25">
        <f>IF($E32="","",ROUND(MIN(Comparison!$B$5,MAX(0,$E32+$H32)),2))</f>
        <v>987.61</v>
      </c>
      <c r="G32" s="25">
        <f>IF($E32="","",ROUND(MIN(Inputs!$B$10,MAX(0,$E32+$H32-$F32)),2))</f>
        <v>0</v>
      </c>
      <c r="H32" s="25">
        <f>IF($E32="","",ROUND(IF(Inputs!$B$12="Daily Simple Interest",$E32*Inputs!$B$6/Inputs!$B$17*$D32,$E32*Inputs!$B$6/Inputs!$B$18),2))</f>
        <v>84.19</v>
      </c>
      <c r="I32" s="25">
        <f t="shared" si="1"/>
        <v>903.42</v>
      </c>
      <c r="J32" s="25">
        <f>IF($E32="","",IF($F32+$G32&gt;0,Inputs!$B$11,0))</f>
        <v>0</v>
      </c>
      <c r="K32" s="25">
        <f t="shared" si="2"/>
        <v>13225.22</v>
      </c>
      <c r="L32" s="25">
        <f t="shared" si="3"/>
        <v>987.61</v>
      </c>
      <c r="M32" s="25">
        <f t="shared" si="4"/>
        <v>0</v>
      </c>
      <c r="N32" s="84" t="str">
        <f t="shared" si="5"/>
        <v>ACTIVE</v>
      </c>
      <c r="O32" s="23">
        <f t="shared" si="6"/>
        <v>1</v>
      </c>
    </row>
    <row r="33" spans="1:15" ht="20" customHeight="1">
      <c r="A33" s="22" t="str">
        <f t="shared" si="0"/>
        <v>Monthly</v>
      </c>
      <c r="B33" s="23">
        <f>IF($E33="","",27)</f>
        <v>27</v>
      </c>
      <c r="C33" s="24">
        <f t="shared" si="7"/>
        <v>47084</v>
      </c>
      <c r="D33" s="23">
        <f t="shared" si="8"/>
        <v>31</v>
      </c>
      <c r="E33" s="25">
        <f t="shared" si="9"/>
        <v>13225.22</v>
      </c>
      <c r="F33" s="25">
        <f>IF($E33="","",ROUND(MIN(Comparison!$B$5,MAX(0,$E33+$H33)),2))</f>
        <v>987.61</v>
      </c>
      <c r="G33" s="25">
        <f>IF($E33="","",ROUND(MIN(Inputs!$B$10,MAX(0,$E33+$H33-$F33)),2))</f>
        <v>0</v>
      </c>
      <c r="H33" s="25">
        <f>IF($E33="","",ROUND(IF(Inputs!$B$12="Daily Simple Interest",$E33*Inputs!$B$6/Inputs!$B$17*$D33,$E33*Inputs!$B$6/Inputs!$B$18),2))</f>
        <v>81.430000000000007</v>
      </c>
      <c r="I33" s="25">
        <f t="shared" si="1"/>
        <v>906.18</v>
      </c>
      <c r="J33" s="25">
        <f>IF($E33="","",IF($F33+$G33&gt;0,Inputs!$B$11,0))</f>
        <v>0</v>
      </c>
      <c r="K33" s="25">
        <f t="shared" si="2"/>
        <v>12319.04</v>
      </c>
      <c r="L33" s="25">
        <f t="shared" si="3"/>
        <v>987.61</v>
      </c>
      <c r="M33" s="25">
        <f t="shared" si="4"/>
        <v>0</v>
      </c>
      <c r="N33" s="84" t="str">
        <f t="shared" si="5"/>
        <v>ACTIVE</v>
      </c>
      <c r="O33" s="23">
        <f t="shared" si="6"/>
        <v>1</v>
      </c>
    </row>
    <row r="34" spans="1:15" ht="20" customHeight="1">
      <c r="A34" s="22" t="str">
        <f t="shared" si="0"/>
        <v>Monthly</v>
      </c>
      <c r="B34" s="23">
        <f>IF($E34="","",28)</f>
        <v>28</v>
      </c>
      <c r="C34" s="24">
        <f t="shared" si="7"/>
        <v>47114</v>
      </c>
      <c r="D34" s="23">
        <f t="shared" si="8"/>
        <v>30</v>
      </c>
      <c r="E34" s="25">
        <f t="shared" si="9"/>
        <v>12319.04</v>
      </c>
      <c r="F34" s="25">
        <f>IF($E34="","",ROUND(MIN(Comparison!$B$5,MAX(0,$E34+$H34)),2))</f>
        <v>987.61</v>
      </c>
      <c r="G34" s="25">
        <f>IF($E34="","",ROUND(MIN(Inputs!$B$10,MAX(0,$E34+$H34-$F34)),2))</f>
        <v>0</v>
      </c>
      <c r="H34" s="25">
        <f>IF($E34="","",ROUND(IF(Inputs!$B$12="Daily Simple Interest",$E34*Inputs!$B$6/Inputs!$B$17*$D34,$E34*Inputs!$B$6/Inputs!$B$18),2))</f>
        <v>73.41</v>
      </c>
      <c r="I34" s="25">
        <f t="shared" si="1"/>
        <v>914.2</v>
      </c>
      <c r="J34" s="25">
        <f>IF($E34="","",IF($F34+$G34&gt;0,Inputs!$B$11,0))</f>
        <v>0</v>
      </c>
      <c r="K34" s="25">
        <f t="shared" si="2"/>
        <v>11404.84</v>
      </c>
      <c r="L34" s="25">
        <f t="shared" si="3"/>
        <v>987.61</v>
      </c>
      <c r="M34" s="25">
        <f t="shared" si="4"/>
        <v>0</v>
      </c>
      <c r="N34" s="84" t="str">
        <f t="shared" si="5"/>
        <v>ACTIVE</v>
      </c>
      <c r="O34" s="23">
        <f t="shared" si="6"/>
        <v>1</v>
      </c>
    </row>
    <row r="35" spans="1:15" ht="20" customHeight="1">
      <c r="A35" s="22" t="str">
        <f t="shared" si="0"/>
        <v>Monthly</v>
      </c>
      <c r="B35" s="23">
        <f>IF($E35="","",29)</f>
        <v>29</v>
      </c>
      <c r="C35" s="24">
        <f t="shared" si="7"/>
        <v>47145</v>
      </c>
      <c r="D35" s="23">
        <f t="shared" si="8"/>
        <v>31</v>
      </c>
      <c r="E35" s="25">
        <f t="shared" si="9"/>
        <v>11404.84</v>
      </c>
      <c r="F35" s="25">
        <f>IF($E35="","",ROUND(MIN(Comparison!$B$5,MAX(0,$E35+$H35)),2))</f>
        <v>987.61</v>
      </c>
      <c r="G35" s="25">
        <f>IF($E35="","",ROUND(MIN(Inputs!$B$10,MAX(0,$E35+$H35-$F35)),2))</f>
        <v>0</v>
      </c>
      <c r="H35" s="25">
        <f>IF($E35="","",ROUND(IF(Inputs!$B$12="Daily Simple Interest",$E35*Inputs!$B$6/Inputs!$B$17*$D35,$E35*Inputs!$B$6/Inputs!$B$18),2))</f>
        <v>70.23</v>
      </c>
      <c r="I35" s="25">
        <f t="shared" si="1"/>
        <v>917.38</v>
      </c>
      <c r="J35" s="25">
        <f>IF($E35="","",IF($F35+$G35&gt;0,Inputs!$B$11,0))</f>
        <v>0</v>
      </c>
      <c r="K35" s="25">
        <f t="shared" si="2"/>
        <v>10487.46</v>
      </c>
      <c r="L35" s="25">
        <f t="shared" si="3"/>
        <v>987.61</v>
      </c>
      <c r="M35" s="25">
        <f t="shared" si="4"/>
        <v>0</v>
      </c>
      <c r="N35" s="84" t="str">
        <f t="shared" si="5"/>
        <v>ACTIVE</v>
      </c>
      <c r="O35" s="23">
        <f t="shared" si="6"/>
        <v>1</v>
      </c>
    </row>
    <row r="36" spans="1:15" ht="20" customHeight="1">
      <c r="A36" s="22" t="str">
        <f t="shared" si="0"/>
        <v>Monthly</v>
      </c>
      <c r="B36" s="23">
        <f>IF($E36="","",30)</f>
        <v>30</v>
      </c>
      <c r="C36" s="24">
        <f t="shared" si="7"/>
        <v>47176</v>
      </c>
      <c r="D36" s="23">
        <f t="shared" si="8"/>
        <v>31</v>
      </c>
      <c r="E36" s="25">
        <f t="shared" si="9"/>
        <v>10487.46</v>
      </c>
      <c r="F36" s="25">
        <f>IF($E36="","",ROUND(MIN(Comparison!$B$5,MAX(0,$E36+$H36)),2))</f>
        <v>987.61</v>
      </c>
      <c r="G36" s="25">
        <f>IF($E36="","",ROUND(MIN(Inputs!$B$10,MAX(0,$E36+$H36-$F36)),2))</f>
        <v>0</v>
      </c>
      <c r="H36" s="25">
        <f>IF($E36="","",ROUND(IF(Inputs!$B$12="Daily Simple Interest",$E36*Inputs!$B$6/Inputs!$B$17*$D36,$E36*Inputs!$B$6/Inputs!$B$18),2))</f>
        <v>64.58</v>
      </c>
      <c r="I36" s="25">
        <f t="shared" si="1"/>
        <v>923.03</v>
      </c>
      <c r="J36" s="25">
        <f>IF($E36="","",IF($F36+$G36&gt;0,Inputs!$B$11,0))</f>
        <v>0</v>
      </c>
      <c r="K36" s="25">
        <f t="shared" si="2"/>
        <v>9564.43</v>
      </c>
      <c r="L36" s="25">
        <f t="shared" si="3"/>
        <v>987.61</v>
      </c>
      <c r="M36" s="25">
        <f t="shared" si="4"/>
        <v>0</v>
      </c>
      <c r="N36" s="84" t="str">
        <f t="shared" si="5"/>
        <v>ACTIVE</v>
      </c>
      <c r="O36" s="23">
        <f t="shared" si="6"/>
        <v>1</v>
      </c>
    </row>
    <row r="37" spans="1:15" ht="20" customHeight="1">
      <c r="A37" s="22" t="str">
        <f t="shared" si="0"/>
        <v>Monthly</v>
      </c>
      <c r="B37" s="23">
        <f>IF($E37="","",31)</f>
        <v>31</v>
      </c>
      <c r="C37" s="24">
        <f t="shared" si="7"/>
        <v>47204</v>
      </c>
      <c r="D37" s="23">
        <f t="shared" si="8"/>
        <v>28</v>
      </c>
      <c r="E37" s="25">
        <f t="shared" si="9"/>
        <v>9564.43</v>
      </c>
      <c r="F37" s="25">
        <f>IF($E37="","",ROUND(MIN(Comparison!$B$5,MAX(0,$E37+$H37)),2))</f>
        <v>987.61</v>
      </c>
      <c r="G37" s="25">
        <f>IF($E37="","",ROUND(MIN(Inputs!$B$10,MAX(0,$E37+$H37-$F37)),2))</f>
        <v>0</v>
      </c>
      <c r="H37" s="25">
        <f>IF($E37="","",ROUND(IF(Inputs!$B$12="Daily Simple Interest",$E37*Inputs!$B$6/Inputs!$B$17*$D37,$E37*Inputs!$B$6/Inputs!$B$18),2))</f>
        <v>53.19</v>
      </c>
      <c r="I37" s="25">
        <f t="shared" si="1"/>
        <v>934.42</v>
      </c>
      <c r="J37" s="25">
        <f>IF($E37="","",IF($F37+$G37&gt;0,Inputs!$B$11,0))</f>
        <v>0</v>
      </c>
      <c r="K37" s="25">
        <f t="shared" si="2"/>
        <v>8630.01</v>
      </c>
      <c r="L37" s="25">
        <f t="shared" si="3"/>
        <v>987.61</v>
      </c>
      <c r="M37" s="25">
        <f t="shared" si="4"/>
        <v>0</v>
      </c>
      <c r="N37" s="84" t="str">
        <f t="shared" si="5"/>
        <v>ACTIVE</v>
      </c>
      <c r="O37" s="23">
        <f t="shared" si="6"/>
        <v>1</v>
      </c>
    </row>
    <row r="38" spans="1:15" ht="20" customHeight="1">
      <c r="A38" s="22" t="str">
        <f t="shared" si="0"/>
        <v>Monthly</v>
      </c>
      <c r="B38" s="23">
        <f>IF($E38="","",32)</f>
        <v>32</v>
      </c>
      <c r="C38" s="24">
        <f t="shared" si="7"/>
        <v>47235</v>
      </c>
      <c r="D38" s="23">
        <f t="shared" si="8"/>
        <v>31</v>
      </c>
      <c r="E38" s="25">
        <f t="shared" si="9"/>
        <v>8630.01</v>
      </c>
      <c r="F38" s="25">
        <f>IF($E38="","",ROUND(MIN(Comparison!$B$5,MAX(0,$E38+$H38)),2))</f>
        <v>987.61</v>
      </c>
      <c r="G38" s="25">
        <f>IF($E38="","",ROUND(MIN(Inputs!$B$10,MAX(0,$E38+$H38-$F38)),2))</f>
        <v>0</v>
      </c>
      <c r="H38" s="25">
        <f>IF($E38="","",ROUND(IF(Inputs!$B$12="Daily Simple Interest",$E38*Inputs!$B$6/Inputs!$B$17*$D38,$E38*Inputs!$B$6/Inputs!$B$18),2))</f>
        <v>53.14</v>
      </c>
      <c r="I38" s="25">
        <f t="shared" si="1"/>
        <v>934.47</v>
      </c>
      <c r="J38" s="25">
        <f>IF($E38="","",IF($F38+$G38&gt;0,Inputs!$B$11,0))</f>
        <v>0</v>
      </c>
      <c r="K38" s="25">
        <f t="shared" si="2"/>
        <v>7695.54</v>
      </c>
      <c r="L38" s="25">
        <f t="shared" si="3"/>
        <v>987.61</v>
      </c>
      <c r="M38" s="25">
        <f t="shared" si="4"/>
        <v>0</v>
      </c>
      <c r="N38" s="84" t="str">
        <f t="shared" si="5"/>
        <v>ACTIVE</v>
      </c>
      <c r="O38" s="23">
        <f t="shared" si="6"/>
        <v>1</v>
      </c>
    </row>
    <row r="39" spans="1:15" ht="20" customHeight="1">
      <c r="A39" s="22" t="str">
        <f t="shared" si="0"/>
        <v>Monthly</v>
      </c>
      <c r="B39" s="23">
        <f>IF($E39="","",33)</f>
        <v>33</v>
      </c>
      <c r="C39" s="24">
        <f t="shared" si="7"/>
        <v>47265</v>
      </c>
      <c r="D39" s="23">
        <f t="shared" si="8"/>
        <v>30</v>
      </c>
      <c r="E39" s="25">
        <f t="shared" si="9"/>
        <v>7695.54</v>
      </c>
      <c r="F39" s="25">
        <f>IF($E39="","",ROUND(MIN(Comparison!$B$5,MAX(0,$E39+$H39)),2))</f>
        <v>987.61</v>
      </c>
      <c r="G39" s="25">
        <f>IF($E39="","",ROUND(MIN(Inputs!$B$10,MAX(0,$E39+$H39-$F39)),2))</f>
        <v>0</v>
      </c>
      <c r="H39" s="25">
        <f>IF($E39="","",ROUND(IF(Inputs!$B$12="Daily Simple Interest",$E39*Inputs!$B$6/Inputs!$B$17*$D39,$E39*Inputs!$B$6/Inputs!$B$18),2))</f>
        <v>45.86</v>
      </c>
      <c r="I39" s="25">
        <f t="shared" si="1"/>
        <v>941.75</v>
      </c>
      <c r="J39" s="25">
        <f>IF($E39="","",IF($F39+$G39&gt;0,Inputs!$B$11,0))</f>
        <v>0</v>
      </c>
      <c r="K39" s="25">
        <f t="shared" si="2"/>
        <v>6753.79</v>
      </c>
      <c r="L39" s="25">
        <f t="shared" si="3"/>
        <v>987.61</v>
      </c>
      <c r="M39" s="25">
        <f t="shared" si="4"/>
        <v>0</v>
      </c>
      <c r="N39" s="84" t="str">
        <f t="shared" si="5"/>
        <v>ACTIVE</v>
      </c>
      <c r="O39" s="23">
        <f t="shared" si="6"/>
        <v>1</v>
      </c>
    </row>
    <row r="40" spans="1:15" ht="20" customHeight="1">
      <c r="A40" s="22" t="str">
        <f t="shared" si="0"/>
        <v>Monthly</v>
      </c>
      <c r="B40" s="23">
        <f>IF($E40="","",34)</f>
        <v>34</v>
      </c>
      <c r="C40" s="24">
        <f t="shared" si="7"/>
        <v>47296</v>
      </c>
      <c r="D40" s="23">
        <f t="shared" si="8"/>
        <v>31</v>
      </c>
      <c r="E40" s="25">
        <f t="shared" si="9"/>
        <v>6753.79</v>
      </c>
      <c r="F40" s="25">
        <f>IF($E40="","",ROUND(MIN(Comparison!$B$5,MAX(0,$E40+$H40)),2))</f>
        <v>987.61</v>
      </c>
      <c r="G40" s="25">
        <f>IF($E40="","",ROUND(MIN(Inputs!$B$10,MAX(0,$E40+$H40-$F40)),2))</f>
        <v>0</v>
      </c>
      <c r="H40" s="25">
        <f>IF($E40="","",ROUND(IF(Inputs!$B$12="Daily Simple Interest",$E40*Inputs!$B$6/Inputs!$B$17*$D40,$E40*Inputs!$B$6/Inputs!$B$18),2))</f>
        <v>41.59</v>
      </c>
      <c r="I40" s="25">
        <f t="shared" si="1"/>
        <v>946.02</v>
      </c>
      <c r="J40" s="25">
        <f>IF($E40="","",IF($F40+$G40&gt;0,Inputs!$B$11,0))</f>
        <v>0</v>
      </c>
      <c r="K40" s="25">
        <f t="shared" si="2"/>
        <v>5807.77</v>
      </c>
      <c r="L40" s="25">
        <f t="shared" si="3"/>
        <v>987.61</v>
      </c>
      <c r="M40" s="25">
        <f t="shared" si="4"/>
        <v>0</v>
      </c>
      <c r="N40" s="84" t="str">
        <f t="shared" si="5"/>
        <v>ACTIVE</v>
      </c>
      <c r="O40" s="23">
        <f t="shared" si="6"/>
        <v>1</v>
      </c>
    </row>
    <row r="41" spans="1:15" ht="20" customHeight="1">
      <c r="A41" s="22" t="str">
        <f t="shared" si="0"/>
        <v>Monthly</v>
      </c>
      <c r="B41" s="23">
        <f>IF($E41="","",35)</f>
        <v>35</v>
      </c>
      <c r="C41" s="24">
        <f t="shared" si="7"/>
        <v>47326</v>
      </c>
      <c r="D41" s="23">
        <f t="shared" si="8"/>
        <v>30</v>
      </c>
      <c r="E41" s="25">
        <f t="shared" si="9"/>
        <v>5807.77</v>
      </c>
      <c r="F41" s="25">
        <f>IF($E41="","",ROUND(MIN(Comparison!$B$5,MAX(0,$E41+$H41)),2))</f>
        <v>987.61</v>
      </c>
      <c r="G41" s="25">
        <f>IF($E41="","",ROUND(MIN(Inputs!$B$10,MAX(0,$E41+$H41-$F41)),2))</f>
        <v>0</v>
      </c>
      <c r="H41" s="25">
        <f>IF($E41="","",ROUND(IF(Inputs!$B$12="Daily Simple Interest",$E41*Inputs!$B$6/Inputs!$B$17*$D41,$E41*Inputs!$B$6/Inputs!$B$18),2))</f>
        <v>34.61</v>
      </c>
      <c r="I41" s="25">
        <f t="shared" si="1"/>
        <v>953</v>
      </c>
      <c r="J41" s="25">
        <f>IF($E41="","",IF($F41+$G41&gt;0,Inputs!$B$11,0))</f>
        <v>0</v>
      </c>
      <c r="K41" s="25">
        <f t="shared" si="2"/>
        <v>4854.7700000000004</v>
      </c>
      <c r="L41" s="25">
        <f t="shared" si="3"/>
        <v>987.61</v>
      </c>
      <c r="M41" s="25">
        <f t="shared" si="4"/>
        <v>0</v>
      </c>
      <c r="N41" s="84" t="str">
        <f t="shared" si="5"/>
        <v>ACTIVE</v>
      </c>
      <c r="O41" s="23">
        <f t="shared" si="6"/>
        <v>1</v>
      </c>
    </row>
    <row r="42" spans="1:15" ht="20" customHeight="1">
      <c r="A42" s="22" t="str">
        <f t="shared" si="0"/>
        <v>Monthly</v>
      </c>
      <c r="B42" s="23">
        <f>IF($E42="","",36)</f>
        <v>36</v>
      </c>
      <c r="C42" s="24">
        <f t="shared" si="7"/>
        <v>47357</v>
      </c>
      <c r="D42" s="23">
        <f t="shared" si="8"/>
        <v>31</v>
      </c>
      <c r="E42" s="25">
        <f t="shared" si="9"/>
        <v>4854.7700000000004</v>
      </c>
      <c r="F42" s="25">
        <f>IF($E42="","",ROUND(MIN(Comparison!$B$5,MAX(0,$E42+$H42)),2))</f>
        <v>987.61</v>
      </c>
      <c r="G42" s="25">
        <f>IF($E42="","",ROUND(MIN(Inputs!$B$10,MAX(0,$E42+$H42-$F42)),2))</f>
        <v>0</v>
      </c>
      <c r="H42" s="25">
        <f>IF($E42="","",ROUND(IF(Inputs!$B$12="Daily Simple Interest",$E42*Inputs!$B$6/Inputs!$B$17*$D42,$E42*Inputs!$B$6/Inputs!$B$18),2))</f>
        <v>29.89</v>
      </c>
      <c r="I42" s="25">
        <f t="shared" si="1"/>
        <v>957.72</v>
      </c>
      <c r="J42" s="25">
        <f>IF($E42="","",IF($F42+$G42&gt;0,Inputs!$B$11,0))</f>
        <v>0</v>
      </c>
      <c r="K42" s="25">
        <f t="shared" si="2"/>
        <v>3897.05</v>
      </c>
      <c r="L42" s="25">
        <f t="shared" si="3"/>
        <v>987.61</v>
      </c>
      <c r="M42" s="25">
        <f t="shared" si="4"/>
        <v>0</v>
      </c>
      <c r="N42" s="84" t="str">
        <f t="shared" si="5"/>
        <v>ACTIVE</v>
      </c>
      <c r="O42" s="23">
        <f t="shared" si="6"/>
        <v>1</v>
      </c>
    </row>
    <row r="43" spans="1:15" ht="20" customHeight="1">
      <c r="A43" s="22" t="str">
        <f t="shared" si="0"/>
        <v>Monthly</v>
      </c>
      <c r="B43" s="23">
        <f>IF($E43="","",37)</f>
        <v>37</v>
      </c>
      <c r="C43" s="24">
        <f t="shared" si="7"/>
        <v>47388</v>
      </c>
      <c r="D43" s="23">
        <f t="shared" si="8"/>
        <v>31</v>
      </c>
      <c r="E43" s="25">
        <f t="shared" si="9"/>
        <v>3897.05</v>
      </c>
      <c r="F43" s="25">
        <f>IF($E43="","",ROUND(MIN(Comparison!$B$5,MAX(0,$E43+$H43)),2))</f>
        <v>987.61</v>
      </c>
      <c r="G43" s="25">
        <f>IF($E43="","",ROUND(MIN(Inputs!$B$10,MAX(0,$E43+$H43-$F43)),2))</f>
        <v>0</v>
      </c>
      <c r="H43" s="25">
        <f>IF($E43="","",ROUND(IF(Inputs!$B$12="Daily Simple Interest",$E43*Inputs!$B$6/Inputs!$B$17*$D43,$E43*Inputs!$B$6/Inputs!$B$18),2))</f>
        <v>24</v>
      </c>
      <c r="I43" s="25">
        <f t="shared" si="1"/>
        <v>963.61</v>
      </c>
      <c r="J43" s="25">
        <f>IF($E43="","",IF($F43+$G43&gt;0,Inputs!$B$11,0))</f>
        <v>0</v>
      </c>
      <c r="K43" s="25">
        <f t="shared" si="2"/>
        <v>2933.44</v>
      </c>
      <c r="L43" s="25">
        <f t="shared" si="3"/>
        <v>987.61</v>
      </c>
      <c r="M43" s="25">
        <f t="shared" si="4"/>
        <v>0</v>
      </c>
      <c r="N43" s="84" t="str">
        <f t="shared" si="5"/>
        <v>ACTIVE</v>
      </c>
      <c r="O43" s="23">
        <f t="shared" si="6"/>
        <v>1</v>
      </c>
    </row>
    <row r="44" spans="1:15" ht="20" customHeight="1">
      <c r="A44" s="22" t="str">
        <f t="shared" si="0"/>
        <v>Monthly</v>
      </c>
      <c r="B44" s="23">
        <f>IF($E44="","",38)</f>
        <v>38</v>
      </c>
      <c r="C44" s="24">
        <f t="shared" si="7"/>
        <v>47418</v>
      </c>
      <c r="D44" s="23">
        <f t="shared" si="8"/>
        <v>30</v>
      </c>
      <c r="E44" s="25">
        <f t="shared" si="9"/>
        <v>2933.44</v>
      </c>
      <c r="F44" s="25">
        <f>IF($E44="","",ROUND(MIN(Comparison!$B$5,MAX(0,$E44+$H44)),2))</f>
        <v>987.61</v>
      </c>
      <c r="G44" s="25">
        <f>IF($E44="","",ROUND(MIN(Inputs!$B$10,MAX(0,$E44+$H44-$F44)),2))</f>
        <v>0</v>
      </c>
      <c r="H44" s="25">
        <f>IF($E44="","",ROUND(IF(Inputs!$B$12="Daily Simple Interest",$E44*Inputs!$B$6/Inputs!$B$17*$D44,$E44*Inputs!$B$6/Inputs!$B$18),2))</f>
        <v>17.48</v>
      </c>
      <c r="I44" s="25">
        <f t="shared" si="1"/>
        <v>970.13</v>
      </c>
      <c r="J44" s="25">
        <f>IF($E44="","",IF($F44+$G44&gt;0,Inputs!$B$11,0))</f>
        <v>0</v>
      </c>
      <c r="K44" s="25">
        <f t="shared" si="2"/>
        <v>1963.31</v>
      </c>
      <c r="L44" s="25">
        <f t="shared" si="3"/>
        <v>987.61</v>
      </c>
      <c r="M44" s="25">
        <f t="shared" si="4"/>
        <v>0</v>
      </c>
      <c r="N44" s="84" t="str">
        <f t="shared" si="5"/>
        <v>ACTIVE</v>
      </c>
      <c r="O44" s="23">
        <f t="shared" si="6"/>
        <v>1</v>
      </c>
    </row>
    <row r="45" spans="1:15" ht="20" customHeight="1">
      <c r="A45" s="22" t="str">
        <f t="shared" si="0"/>
        <v>Monthly</v>
      </c>
      <c r="B45" s="23">
        <f>IF($E45="","",39)</f>
        <v>39</v>
      </c>
      <c r="C45" s="24">
        <f t="shared" si="7"/>
        <v>47449</v>
      </c>
      <c r="D45" s="23">
        <f t="shared" si="8"/>
        <v>31</v>
      </c>
      <c r="E45" s="25">
        <f t="shared" si="9"/>
        <v>1963.31</v>
      </c>
      <c r="F45" s="25">
        <f>IF($E45="","",ROUND(MIN(Comparison!$B$5,MAX(0,$E45+$H45)),2))</f>
        <v>987.61</v>
      </c>
      <c r="G45" s="25">
        <f>IF($E45="","",ROUND(MIN(Inputs!$B$10,MAX(0,$E45+$H45-$F45)),2))</f>
        <v>0</v>
      </c>
      <c r="H45" s="25">
        <f>IF($E45="","",ROUND(IF(Inputs!$B$12="Daily Simple Interest",$E45*Inputs!$B$6/Inputs!$B$17*$D45,$E45*Inputs!$B$6/Inputs!$B$18),2))</f>
        <v>12.09</v>
      </c>
      <c r="I45" s="25">
        <f t="shared" si="1"/>
        <v>975.52</v>
      </c>
      <c r="J45" s="25">
        <f>IF($E45="","",IF($F45+$G45&gt;0,Inputs!$B$11,0))</f>
        <v>0</v>
      </c>
      <c r="K45" s="25">
        <f t="shared" si="2"/>
        <v>987.79</v>
      </c>
      <c r="L45" s="25">
        <f t="shared" si="3"/>
        <v>987.61</v>
      </c>
      <c r="M45" s="25">
        <f t="shared" si="4"/>
        <v>0</v>
      </c>
      <c r="N45" s="84" t="str">
        <f t="shared" si="5"/>
        <v>ACTIVE</v>
      </c>
      <c r="O45" s="23">
        <f t="shared" si="6"/>
        <v>1</v>
      </c>
    </row>
    <row r="46" spans="1:15" ht="20" customHeight="1">
      <c r="A46" s="22" t="str">
        <f t="shared" si="0"/>
        <v>Monthly</v>
      </c>
      <c r="B46" s="23">
        <f>IF($E46="","",40)</f>
        <v>40</v>
      </c>
      <c r="C46" s="24">
        <f t="shared" si="7"/>
        <v>47479</v>
      </c>
      <c r="D46" s="23">
        <f t="shared" si="8"/>
        <v>30</v>
      </c>
      <c r="E46" s="25">
        <f t="shared" si="9"/>
        <v>987.79</v>
      </c>
      <c r="F46" s="25">
        <f>IF($E46="","",ROUND(MIN(Comparison!$B$5,MAX(0,$E46+$H46)),2))</f>
        <v>987.61</v>
      </c>
      <c r="G46" s="25">
        <f>IF($E46="","",ROUND(MIN(Inputs!$B$10,MAX(0,$E46+$H46-$F46)),2))</f>
        <v>0</v>
      </c>
      <c r="H46" s="25">
        <f>IF($E46="","",ROUND(IF(Inputs!$B$12="Daily Simple Interest",$E46*Inputs!$B$6/Inputs!$B$17*$D46,$E46*Inputs!$B$6/Inputs!$B$18),2))</f>
        <v>5.89</v>
      </c>
      <c r="I46" s="25">
        <f t="shared" si="1"/>
        <v>981.72</v>
      </c>
      <c r="J46" s="25">
        <f>IF($E46="","",IF($F46+$G46&gt;0,Inputs!$B$11,0))</f>
        <v>0</v>
      </c>
      <c r="K46" s="25">
        <f t="shared" si="2"/>
        <v>6.07</v>
      </c>
      <c r="L46" s="25">
        <f t="shared" si="3"/>
        <v>987.61</v>
      </c>
      <c r="M46" s="25">
        <f t="shared" si="4"/>
        <v>0</v>
      </c>
      <c r="N46" s="84" t="str">
        <f t="shared" si="5"/>
        <v>ACTIVE</v>
      </c>
      <c r="O46" s="23">
        <f t="shared" si="6"/>
        <v>1</v>
      </c>
    </row>
    <row r="47" spans="1:15" ht="20" customHeight="1">
      <c r="A47" s="22" t="str">
        <f t="shared" si="0"/>
        <v>Monthly</v>
      </c>
      <c r="B47" s="23">
        <f>IF($E47="","",41)</f>
        <v>41</v>
      </c>
      <c r="C47" s="24">
        <f t="shared" si="7"/>
        <v>47510</v>
      </c>
      <c r="D47" s="23">
        <f t="shared" si="8"/>
        <v>31</v>
      </c>
      <c r="E47" s="25">
        <f t="shared" si="9"/>
        <v>6.07</v>
      </c>
      <c r="F47" s="25">
        <f>IF($E47="","",ROUND(MIN(Comparison!$B$5,MAX(0,$E47+$H47)),2))</f>
        <v>6.11</v>
      </c>
      <c r="G47" s="25">
        <f>IF($E47="","",ROUND(MIN(Inputs!$B$10,MAX(0,$E47+$H47-$F47)),2))</f>
        <v>0</v>
      </c>
      <c r="H47" s="25">
        <f>IF($E47="","",ROUND(IF(Inputs!$B$12="Daily Simple Interest",$E47*Inputs!$B$6/Inputs!$B$17*$D47,$E47*Inputs!$B$6/Inputs!$B$18),2))</f>
        <v>0.04</v>
      </c>
      <c r="I47" s="25">
        <f t="shared" si="1"/>
        <v>6.07</v>
      </c>
      <c r="J47" s="25">
        <f>IF($E47="","",IF($F47+$G47&gt;0,Inputs!$B$11,0))</f>
        <v>0</v>
      </c>
      <c r="K47" s="25">
        <f t="shared" si="2"/>
        <v>0</v>
      </c>
      <c r="L47" s="25">
        <f t="shared" si="3"/>
        <v>6.11</v>
      </c>
      <c r="M47" s="25">
        <f t="shared" si="4"/>
        <v>0</v>
      </c>
      <c r="N47" s="84" t="str">
        <f t="shared" si="5"/>
        <v>PAID OFF</v>
      </c>
      <c r="O47" s="23">
        <f t="shared" si="6"/>
        <v>1</v>
      </c>
    </row>
    <row r="48" spans="1:15" ht="20" customHeight="1">
      <c r="A48" s="22" t="str">
        <f t="shared" si="0"/>
        <v/>
      </c>
      <c r="B48" s="23" t="str">
        <f>IF($E48="","",42)</f>
        <v/>
      </c>
      <c r="C48" s="24" t="str">
        <f t="shared" si="7"/>
        <v/>
      </c>
      <c r="D48" s="23" t="str">
        <f t="shared" si="8"/>
        <v/>
      </c>
      <c r="E48" s="25" t="str">
        <f t="shared" si="9"/>
        <v/>
      </c>
      <c r="F48" s="25" t="str">
        <f>IF($E48="","",ROUND(MIN(Comparison!$B$5,MAX(0,$E48+$H48)),2))</f>
        <v/>
      </c>
      <c r="G48" s="25" t="str">
        <f>IF($E48="","",ROUND(MIN(Inputs!$B$10,MAX(0,$E48+$H48-$F48)),2))</f>
        <v/>
      </c>
      <c r="H48" s="25" t="str">
        <f>IF($E48="","",ROUND(IF(Inputs!$B$12="Daily Simple Interest",$E48*Inputs!$B$6/Inputs!$B$17*$D48,$E48*Inputs!$B$6/Inputs!$B$18),2))</f>
        <v/>
      </c>
      <c r="I48" s="25" t="str">
        <f t="shared" si="1"/>
        <v/>
      </c>
      <c r="J48" s="25" t="str">
        <f>IF($E48="","",IF($F48+$G48&gt;0,Inputs!$B$11,0))</f>
        <v/>
      </c>
      <c r="K48" s="25" t="str">
        <f t="shared" si="2"/>
        <v/>
      </c>
      <c r="L48" s="25" t="str">
        <f t="shared" si="3"/>
        <v/>
      </c>
      <c r="M48" s="25" t="str">
        <f t="shared" si="4"/>
        <v/>
      </c>
      <c r="N48" s="84" t="str">
        <f t="shared" si="5"/>
        <v/>
      </c>
      <c r="O48" s="23" t="str">
        <f t="shared" si="6"/>
        <v/>
      </c>
    </row>
    <row r="49" spans="1:15" ht="20" customHeight="1">
      <c r="A49" s="22" t="str">
        <f t="shared" si="0"/>
        <v/>
      </c>
      <c r="B49" s="23" t="str">
        <f>IF($E49="","",43)</f>
        <v/>
      </c>
      <c r="C49" s="24" t="str">
        <f t="shared" si="7"/>
        <v/>
      </c>
      <c r="D49" s="23" t="str">
        <f t="shared" si="8"/>
        <v/>
      </c>
      <c r="E49" s="25" t="str">
        <f t="shared" si="9"/>
        <v/>
      </c>
      <c r="F49" s="25" t="str">
        <f>IF($E49="","",ROUND(MIN(Comparison!$B$5,MAX(0,$E49+$H49)),2))</f>
        <v/>
      </c>
      <c r="G49" s="25" t="str">
        <f>IF($E49="","",ROUND(MIN(Inputs!$B$10,MAX(0,$E49+$H49-$F49)),2))</f>
        <v/>
      </c>
      <c r="H49" s="25" t="str">
        <f>IF($E49="","",ROUND(IF(Inputs!$B$12="Daily Simple Interest",$E49*Inputs!$B$6/Inputs!$B$17*$D49,$E49*Inputs!$B$6/Inputs!$B$18),2))</f>
        <v/>
      </c>
      <c r="I49" s="25" t="str">
        <f t="shared" si="1"/>
        <v/>
      </c>
      <c r="J49" s="25" t="str">
        <f>IF($E49="","",IF($F49+$G49&gt;0,Inputs!$B$11,0))</f>
        <v/>
      </c>
      <c r="K49" s="25" t="str">
        <f t="shared" si="2"/>
        <v/>
      </c>
      <c r="L49" s="25" t="str">
        <f t="shared" si="3"/>
        <v/>
      </c>
      <c r="M49" s="25" t="str">
        <f t="shared" si="4"/>
        <v/>
      </c>
      <c r="N49" s="84" t="str">
        <f t="shared" si="5"/>
        <v/>
      </c>
      <c r="O49" s="23" t="str">
        <f t="shared" si="6"/>
        <v/>
      </c>
    </row>
    <row r="50" spans="1:15" ht="20" customHeight="1">
      <c r="A50" s="22" t="str">
        <f t="shared" si="0"/>
        <v/>
      </c>
      <c r="B50" s="23" t="str">
        <f>IF($E50="","",44)</f>
        <v/>
      </c>
      <c r="C50" s="24" t="str">
        <f t="shared" si="7"/>
        <v/>
      </c>
      <c r="D50" s="23" t="str">
        <f t="shared" si="8"/>
        <v/>
      </c>
      <c r="E50" s="25" t="str">
        <f t="shared" si="9"/>
        <v/>
      </c>
      <c r="F50" s="25" t="str">
        <f>IF($E50="","",ROUND(MIN(Comparison!$B$5,MAX(0,$E50+$H50)),2))</f>
        <v/>
      </c>
      <c r="G50" s="25" t="str">
        <f>IF($E50="","",ROUND(MIN(Inputs!$B$10,MAX(0,$E50+$H50-$F50)),2))</f>
        <v/>
      </c>
      <c r="H50" s="25" t="str">
        <f>IF($E50="","",ROUND(IF(Inputs!$B$12="Daily Simple Interest",$E50*Inputs!$B$6/Inputs!$B$17*$D50,$E50*Inputs!$B$6/Inputs!$B$18),2))</f>
        <v/>
      </c>
      <c r="I50" s="25" t="str">
        <f t="shared" si="1"/>
        <v/>
      </c>
      <c r="J50" s="25" t="str">
        <f>IF($E50="","",IF($F50+$G50&gt;0,Inputs!$B$11,0))</f>
        <v/>
      </c>
      <c r="K50" s="25" t="str">
        <f t="shared" si="2"/>
        <v/>
      </c>
      <c r="L50" s="25" t="str">
        <f t="shared" si="3"/>
        <v/>
      </c>
      <c r="M50" s="25" t="str">
        <f t="shared" si="4"/>
        <v/>
      </c>
      <c r="N50" s="84" t="str">
        <f t="shared" si="5"/>
        <v/>
      </c>
      <c r="O50" s="23" t="str">
        <f t="shared" si="6"/>
        <v/>
      </c>
    </row>
    <row r="51" spans="1:15" ht="20" customHeight="1">
      <c r="A51" s="22" t="str">
        <f t="shared" si="0"/>
        <v/>
      </c>
      <c r="B51" s="23" t="str">
        <f>IF($E51="","",45)</f>
        <v/>
      </c>
      <c r="C51" s="24" t="str">
        <f t="shared" si="7"/>
        <v/>
      </c>
      <c r="D51" s="23" t="str">
        <f t="shared" si="8"/>
        <v/>
      </c>
      <c r="E51" s="25" t="str">
        <f t="shared" si="9"/>
        <v/>
      </c>
      <c r="F51" s="25" t="str">
        <f>IF($E51="","",ROUND(MIN(Comparison!$B$5,MAX(0,$E51+$H51)),2))</f>
        <v/>
      </c>
      <c r="G51" s="25" t="str">
        <f>IF($E51="","",ROUND(MIN(Inputs!$B$10,MAX(0,$E51+$H51-$F51)),2))</f>
        <v/>
      </c>
      <c r="H51" s="25" t="str">
        <f>IF($E51="","",ROUND(IF(Inputs!$B$12="Daily Simple Interest",$E51*Inputs!$B$6/Inputs!$B$17*$D51,$E51*Inputs!$B$6/Inputs!$B$18),2))</f>
        <v/>
      </c>
      <c r="I51" s="25" t="str">
        <f t="shared" si="1"/>
        <v/>
      </c>
      <c r="J51" s="25" t="str">
        <f>IF($E51="","",IF($F51+$G51&gt;0,Inputs!$B$11,0))</f>
        <v/>
      </c>
      <c r="K51" s="25" t="str">
        <f t="shared" si="2"/>
        <v/>
      </c>
      <c r="L51" s="25" t="str">
        <f t="shared" si="3"/>
        <v/>
      </c>
      <c r="M51" s="25" t="str">
        <f t="shared" si="4"/>
        <v/>
      </c>
      <c r="N51" s="84" t="str">
        <f t="shared" si="5"/>
        <v/>
      </c>
      <c r="O51" s="23" t="str">
        <f t="shared" si="6"/>
        <v/>
      </c>
    </row>
    <row r="52" spans="1:15" ht="20" customHeight="1">
      <c r="A52" s="22" t="str">
        <f t="shared" si="0"/>
        <v/>
      </c>
      <c r="B52" s="23" t="str">
        <f>IF($E52="","",46)</f>
        <v/>
      </c>
      <c r="C52" s="24" t="str">
        <f t="shared" si="7"/>
        <v/>
      </c>
      <c r="D52" s="23" t="str">
        <f t="shared" si="8"/>
        <v/>
      </c>
      <c r="E52" s="25" t="str">
        <f t="shared" si="9"/>
        <v/>
      </c>
      <c r="F52" s="25" t="str">
        <f>IF($E52="","",ROUND(MIN(Comparison!$B$5,MAX(0,$E52+$H52)),2))</f>
        <v/>
      </c>
      <c r="G52" s="25" t="str">
        <f>IF($E52="","",ROUND(MIN(Inputs!$B$10,MAX(0,$E52+$H52-$F52)),2))</f>
        <v/>
      </c>
      <c r="H52" s="25" t="str">
        <f>IF($E52="","",ROUND(IF(Inputs!$B$12="Daily Simple Interest",$E52*Inputs!$B$6/Inputs!$B$17*$D52,$E52*Inputs!$B$6/Inputs!$B$18),2))</f>
        <v/>
      </c>
      <c r="I52" s="25" t="str">
        <f t="shared" si="1"/>
        <v/>
      </c>
      <c r="J52" s="25" t="str">
        <f>IF($E52="","",IF($F52+$G52&gt;0,Inputs!$B$11,0))</f>
        <v/>
      </c>
      <c r="K52" s="25" t="str">
        <f t="shared" si="2"/>
        <v/>
      </c>
      <c r="L52" s="25" t="str">
        <f t="shared" si="3"/>
        <v/>
      </c>
      <c r="M52" s="25" t="str">
        <f t="shared" si="4"/>
        <v/>
      </c>
      <c r="N52" s="84" t="str">
        <f t="shared" si="5"/>
        <v/>
      </c>
      <c r="O52" s="23" t="str">
        <f t="shared" si="6"/>
        <v/>
      </c>
    </row>
    <row r="53" spans="1:15" ht="20" customHeight="1">
      <c r="A53" s="22" t="str">
        <f t="shared" si="0"/>
        <v/>
      </c>
      <c r="B53" s="23" t="str">
        <f>IF($E53="","",47)</f>
        <v/>
      </c>
      <c r="C53" s="24" t="str">
        <f t="shared" si="7"/>
        <v/>
      </c>
      <c r="D53" s="23" t="str">
        <f t="shared" si="8"/>
        <v/>
      </c>
      <c r="E53" s="25" t="str">
        <f t="shared" si="9"/>
        <v/>
      </c>
      <c r="F53" s="25" t="str">
        <f>IF($E53="","",ROUND(MIN(Comparison!$B$5,MAX(0,$E53+$H53)),2))</f>
        <v/>
      </c>
      <c r="G53" s="25" t="str">
        <f>IF($E53="","",ROUND(MIN(Inputs!$B$10,MAX(0,$E53+$H53-$F53)),2))</f>
        <v/>
      </c>
      <c r="H53" s="25" t="str">
        <f>IF($E53="","",ROUND(IF(Inputs!$B$12="Daily Simple Interest",$E53*Inputs!$B$6/Inputs!$B$17*$D53,$E53*Inputs!$B$6/Inputs!$B$18),2))</f>
        <v/>
      </c>
      <c r="I53" s="25" t="str">
        <f t="shared" si="1"/>
        <v/>
      </c>
      <c r="J53" s="25" t="str">
        <f>IF($E53="","",IF($F53+$G53&gt;0,Inputs!$B$11,0))</f>
        <v/>
      </c>
      <c r="K53" s="25" t="str">
        <f t="shared" si="2"/>
        <v/>
      </c>
      <c r="L53" s="25" t="str">
        <f t="shared" si="3"/>
        <v/>
      </c>
      <c r="M53" s="25" t="str">
        <f t="shared" si="4"/>
        <v/>
      </c>
      <c r="N53" s="84" t="str">
        <f t="shared" si="5"/>
        <v/>
      </c>
      <c r="O53" s="23" t="str">
        <f t="shared" si="6"/>
        <v/>
      </c>
    </row>
    <row r="54" spans="1:15" ht="20" customHeight="1">
      <c r="A54" s="22" t="str">
        <f t="shared" si="0"/>
        <v/>
      </c>
      <c r="B54" s="23" t="str">
        <f>IF($E54="","",48)</f>
        <v/>
      </c>
      <c r="C54" s="24" t="str">
        <f t="shared" si="7"/>
        <v/>
      </c>
      <c r="D54" s="23" t="str">
        <f t="shared" si="8"/>
        <v/>
      </c>
      <c r="E54" s="25" t="str">
        <f t="shared" si="9"/>
        <v/>
      </c>
      <c r="F54" s="25" t="str">
        <f>IF($E54="","",ROUND(MIN(Comparison!$B$5,MAX(0,$E54+$H54)),2))</f>
        <v/>
      </c>
      <c r="G54" s="25" t="str">
        <f>IF($E54="","",ROUND(MIN(Inputs!$B$10,MAX(0,$E54+$H54-$F54)),2))</f>
        <v/>
      </c>
      <c r="H54" s="25" t="str">
        <f>IF($E54="","",ROUND(IF(Inputs!$B$12="Daily Simple Interest",$E54*Inputs!$B$6/Inputs!$B$17*$D54,$E54*Inputs!$B$6/Inputs!$B$18),2))</f>
        <v/>
      </c>
      <c r="I54" s="25" t="str">
        <f t="shared" si="1"/>
        <v/>
      </c>
      <c r="J54" s="25" t="str">
        <f>IF($E54="","",IF($F54+$G54&gt;0,Inputs!$B$11,0))</f>
        <v/>
      </c>
      <c r="K54" s="25" t="str">
        <f t="shared" si="2"/>
        <v/>
      </c>
      <c r="L54" s="25" t="str">
        <f t="shared" si="3"/>
        <v/>
      </c>
      <c r="M54" s="25" t="str">
        <f t="shared" si="4"/>
        <v/>
      </c>
      <c r="N54" s="84" t="str">
        <f t="shared" si="5"/>
        <v/>
      </c>
      <c r="O54" s="23" t="str">
        <f t="shared" si="6"/>
        <v/>
      </c>
    </row>
    <row r="55" spans="1:15" ht="20" customHeight="1">
      <c r="A55" s="22" t="str">
        <f t="shared" si="0"/>
        <v/>
      </c>
      <c r="B55" s="23" t="str">
        <f>IF($E55="","",49)</f>
        <v/>
      </c>
      <c r="C55" s="24" t="str">
        <f t="shared" si="7"/>
        <v/>
      </c>
      <c r="D55" s="23" t="str">
        <f t="shared" si="8"/>
        <v/>
      </c>
      <c r="E55" s="25" t="str">
        <f t="shared" si="9"/>
        <v/>
      </c>
      <c r="F55" s="25" t="str">
        <f>IF($E55="","",ROUND(MIN(Comparison!$B$5,MAX(0,$E55+$H55)),2))</f>
        <v/>
      </c>
      <c r="G55" s="25" t="str">
        <f>IF($E55="","",ROUND(MIN(Inputs!$B$10,MAX(0,$E55+$H55-$F55)),2))</f>
        <v/>
      </c>
      <c r="H55" s="25" t="str">
        <f>IF($E55="","",ROUND(IF(Inputs!$B$12="Daily Simple Interest",$E55*Inputs!$B$6/Inputs!$B$17*$D55,$E55*Inputs!$B$6/Inputs!$B$18),2))</f>
        <v/>
      </c>
      <c r="I55" s="25" t="str">
        <f t="shared" si="1"/>
        <v/>
      </c>
      <c r="J55" s="25" t="str">
        <f>IF($E55="","",IF($F55+$G55&gt;0,Inputs!$B$11,0))</f>
        <v/>
      </c>
      <c r="K55" s="25" t="str">
        <f t="shared" si="2"/>
        <v/>
      </c>
      <c r="L55" s="25" t="str">
        <f t="shared" si="3"/>
        <v/>
      </c>
      <c r="M55" s="25" t="str">
        <f t="shared" si="4"/>
        <v/>
      </c>
      <c r="N55" s="84" t="str">
        <f t="shared" si="5"/>
        <v/>
      </c>
      <c r="O55" s="23" t="str">
        <f t="shared" si="6"/>
        <v/>
      </c>
    </row>
    <row r="56" spans="1:15" ht="20" customHeight="1">
      <c r="A56" s="22" t="str">
        <f t="shared" si="0"/>
        <v/>
      </c>
      <c r="B56" s="23" t="str">
        <f>IF($E56="","",50)</f>
        <v/>
      </c>
      <c r="C56" s="24" t="str">
        <f t="shared" si="7"/>
        <v/>
      </c>
      <c r="D56" s="23" t="str">
        <f t="shared" si="8"/>
        <v/>
      </c>
      <c r="E56" s="25" t="str">
        <f t="shared" si="9"/>
        <v/>
      </c>
      <c r="F56" s="25" t="str">
        <f>IF($E56="","",ROUND(MIN(Comparison!$B$5,MAX(0,$E56+$H56)),2))</f>
        <v/>
      </c>
      <c r="G56" s="25" t="str">
        <f>IF($E56="","",ROUND(MIN(Inputs!$B$10,MAX(0,$E56+$H56-$F56)),2))</f>
        <v/>
      </c>
      <c r="H56" s="25" t="str">
        <f>IF($E56="","",ROUND(IF(Inputs!$B$12="Daily Simple Interest",$E56*Inputs!$B$6/Inputs!$B$17*$D56,$E56*Inputs!$B$6/Inputs!$B$18),2))</f>
        <v/>
      </c>
      <c r="I56" s="25" t="str">
        <f t="shared" si="1"/>
        <v/>
      </c>
      <c r="J56" s="25" t="str">
        <f>IF($E56="","",IF($F56+$G56&gt;0,Inputs!$B$11,0))</f>
        <v/>
      </c>
      <c r="K56" s="25" t="str">
        <f t="shared" si="2"/>
        <v/>
      </c>
      <c r="L56" s="25" t="str">
        <f t="shared" si="3"/>
        <v/>
      </c>
      <c r="M56" s="25" t="str">
        <f t="shared" si="4"/>
        <v/>
      </c>
      <c r="N56" s="84" t="str">
        <f t="shared" si="5"/>
        <v/>
      </c>
      <c r="O56" s="23" t="str">
        <f t="shared" si="6"/>
        <v/>
      </c>
    </row>
    <row r="57" spans="1:15" ht="20" customHeight="1">
      <c r="A57" s="22" t="str">
        <f t="shared" si="0"/>
        <v/>
      </c>
      <c r="B57" s="23" t="str">
        <f>IF($E57="","",51)</f>
        <v/>
      </c>
      <c r="C57" s="24" t="str">
        <f t="shared" si="7"/>
        <v/>
      </c>
      <c r="D57" s="23" t="str">
        <f t="shared" si="8"/>
        <v/>
      </c>
      <c r="E57" s="25" t="str">
        <f t="shared" si="9"/>
        <v/>
      </c>
      <c r="F57" s="25" t="str">
        <f>IF($E57="","",ROUND(MIN(Comparison!$B$5,MAX(0,$E57+$H57)),2))</f>
        <v/>
      </c>
      <c r="G57" s="25" t="str">
        <f>IF($E57="","",ROUND(MIN(Inputs!$B$10,MAX(0,$E57+$H57-$F57)),2))</f>
        <v/>
      </c>
      <c r="H57" s="25" t="str">
        <f>IF($E57="","",ROUND(IF(Inputs!$B$12="Daily Simple Interest",$E57*Inputs!$B$6/Inputs!$B$17*$D57,$E57*Inputs!$B$6/Inputs!$B$18),2))</f>
        <v/>
      </c>
      <c r="I57" s="25" t="str">
        <f t="shared" si="1"/>
        <v/>
      </c>
      <c r="J57" s="25" t="str">
        <f>IF($E57="","",IF($F57+$G57&gt;0,Inputs!$B$11,0))</f>
        <v/>
      </c>
      <c r="K57" s="25" t="str">
        <f t="shared" si="2"/>
        <v/>
      </c>
      <c r="L57" s="25" t="str">
        <f t="shared" si="3"/>
        <v/>
      </c>
      <c r="M57" s="25" t="str">
        <f t="shared" si="4"/>
        <v/>
      </c>
      <c r="N57" s="84" t="str">
        <f t="shared" si="5"/>
        <v/>
      </c>
      <c r="O57" s="23" t="str">
        <f t="shared" si="6"/>
        <v/>
      </c>
    </row>
    <row r="58" spans="1:15" ht="20" customHeight="1">
      <c r="A58" s="22" t="str">
        <f t="shared" si="0"/>
        <v/>
      </c>
      <c r="B58" s="23" t="str">
        <f>IF($E58="","",52)</f>
        <v/>
      </c>
      <c r="C58" s="24" t="str">
        <f t="shared" si="7"/>
        <v/>
      </c>
      <c r="D58" s="23" t="str">
        <f t="shared" si="8"/>
        <v/>
      </c>
      <c r="E58" s="25" t="str">
        <f t="shared" si="9"/>
        <v/>
      </c>
      <c r="F58" s="25" t="str">
        <f>IF($E58="","",ROUND(MIN(Comparison!$B$5,MAX(0,$E58+$H58)),2))</f>
        <v/>
      </c>
      <c r="G58" s="25" t="str">
        <f>IF($E58="","",ROUND(MIN(Inputs!$B$10,MAX(0,$E58+$H58-$F58)),2))</f>
        <v/>
      </c>
      <c r="H58" s="25" t="str">
        <f>IF($E58="","",ROUND(IF(Inputs!$B$12="Daily Simple Interest",$E58*Inputs!$B$6/Inputs!$B$17*$D58,$E58*Inputs!$B$6/Inputs!$B$18),2))</f>
        <v/>
      </c>
      <c r="I58" s="25" t="str">
        <f t="shared" si="1"/>
        <v/>
      </c>
      <c r="J58" s="25" t="str">
        <f>IF($E58="","",IF($F58+$G58&gt;0,Inputs!$B$11,0))</f>
        <v/>
      </c>
      <c r="K58" s="25" t="str">
        <f t="shared" si="2"/>
        <v/>
      </c>
      <c r="L58" s="25" t="str">
        <f t="shared" si="3"/>
        <v/>
      </c>
      <c r="M58" s="25" t="str">
        <f t="shared" si="4"/>
        <v/>
      </c>
      <c r="N58" s="84" t="str">
        <f t="shared" si="5"/>
        <v/>
      </c>
      <c r="O58" s="23" t="str">
        <f t="shared" si="6"/>
        <v/>
      </c>
    </row>
    <row r="59" spans="1:15" ht="20" customHeight="1">
      <c r="A59" s="22" t="str">
        <f t="shared" si="0"/>
        <v/>
      </c>
      <c r="B59" s="23" t="str">
        <f>IF($E59="","",53)</f>
        <v/>
      </c>
      <c r="C59" s="24" t="str">
        <f t="shared" si="7"/>
        <v/>
      </c>
      <c r="D59" s="23" t="str">
        <f t="shared" si="8"/>
        <v/>
      </c>
      <c r="E59" s="25" t="str">
        <f t="shared" si="9"/>
        <v/>
      </c>
      <c r="F59" s="25" t="str">
        <f>IF($E59="","",ROUND(MIN(Comparison!$B$5,MAX(0,$E59+$H59)),2))</f>
        <v/>
      </c>
      <c r="G59" s="25" t="str">
        <f>IF($E59="","",ROUND(MIN(Inputs!$B$10,MAX(0,$E59+$H59-$F59)),2))</f>
        <v/>
      </c>
      <c r="H59" s="25" t="str">
        <f>IF($E59="","",ROUND(IF(Inputs!$B$12="Daily Simple Interest",$E59*Inputs!$B$6/Inputs!$B$17*$D59,$E59*Inputs!$B$6/Inputs!$B$18),2))</f>
        <v/>
      </c>
      <c r="I59" s="25" t="str">
        <f t="shared" si="1"/>
        <v/>
      </c>
      <c r="J59" s="25" t="str">
        <f>IF($E59="","",IF($F59+$G59&gt;0,Inputs!$B$11,0))</f>
        <v/>
      </c>
      <c r="K59" s="25" t="str">
        <f t="shared" si="2"/>
        <v/>
      </c>
      <c r="L59" s="25" t="str">
        <f t="shared" si="3"/>
        <v/>
      </c>
      <c r="M59" s="25" t="str">
        <f t="shared" si="4"/>
        <v/>
      </c>
      <c r="N59" s="84" t="str">
        <f t="shared" si="5"/>
        <v/>
      </c>
      <c r="O59" s="23" t="str">
        <f t="shared" si="6"/>
        <v/>
      </c>
    </row>
    <row r="60" spans="1:15" ht="20" customHeight="1">
      <c r="A60" s="22" t="str">
        <f t="shared" si="0"/>
        <v/>
      </c>
      <c r="B60" s="23" t="str">
        <f>IF($E60="","",54)</f>
        <v/>
      </c>
      <c r="C60" s="24" t="str">
        <f t="shared" si="7"/>
        <v/>
      </c>
      <c r="D60" s="23" t="str">
        <f t="shared" si="8"/>
        <v/>
      </c>
      <c r="E60" s="25" t="str">
        <f t="shared" si="9"/>
        <v/>
      </c>
      <c r="F60" s="25" t="str">
        <f>IF($E60="","",ROUND(MIN(Comparison!$B$5,MAX(0,$E60+$H60)),2))</f>
        <v/>
      </c>
      <c r="G60" s="25" t="str">
        <f>IF($E60="","",ROUND(MIN(Inputs!$B$10,MAX(0,$E60+$H60-$F60)),2))</f>
        <v/>
      </c>
      <c r="H60" s="25" t="str">
        <f>IF($E60="","",ROUND(IF(Inputs!$B$12="Daily Simple Interest",$E60*Inputs!$B$6/Inputs!$B$17*$D60,$E60*Inputs!$B$6/Inputs!$B$18),2))</f>
        <v/>
      </c>
      <c r="I60" s="25" t="str">
        <f t="shared" si="1"/>
        <v/>
      </c>
      <c r="J60" s="25" t="str">
        <f>IF($E60="","",IF($F60+$G60&gt;0,Inputs!$B$11,0))</f>
        <v/>
      </c>
      <c r="K60" s="25" t="str">
        <f t="shared" si="2"/>
        <v/>
      </c>
      <c r="L60" s="25" t="str">
        <f t="shared" si="3"/>
        <v/>
      </c>
      <c r="M60" s="25" t="str">
        <f t="shared" si="4"/>
        <v/>
      </c>
      <c r="N60" s="84" t="str">
        <f t="shared" si="5"/>
        <v/>
      </c>
      <c r="O60" s="23" t="str">
        <f t="shared" si="6"/>
        <v/>
      </c>
    </row>
    <row r="61" spans="1:15" ht="20" customHeight="1">
      <c r="A61" s="22" t="str">
        <f t="shared" si="0"/>
        <v/>
      </c>
      <c r="B61" s="23" t="str">
        <f>IF($E61="","",55)</f>
        <v/>
      </c>
      <c r="C61" s="24" t="str">
        <f t="shared" si="7"/>
        <v/>
      </c>
      <c r="D61" s="23" t="str">
        <f t="shared" si="8"/>
        <v/>
      </c>
      <c r="E61" s="25" t="str">
        <f t="shared" si="9"/>
        <v/>
      </c>
      <c r="F61" s="25" t="str">
        <f>IF($E61="","",ROUND(MIN(Comparison!$B$5,MAX(0,$E61+$H61)),2))</f>
        <v/>
      </c>
      <c r="G61" s="25" t="str">
        <f>IF($E61="","",ROUND(MIN(Inputs!$B$10,MAX(0,$E61+$H61-$F61)),2))</f>
        <v/>
      </c>
      <c r="H61" s="25" t="str">
        <f>IF($E61="","",ROUND(IF(Inputs!$B$12="Daily Simple Interest",$E61*Inputs!$B$6/Inputs!$B$17*$D61,$E61*Inputs!$B$6/Inputs!$B$18),2))</f>
        <v/>
      </c>
      <c r="I61" s="25" t="str">
        <f t="shared" si="1"/>
        <v/>
      </c>
      <c r="J61" s="25" t="str">
        <f>IF($E61="","",IF($F61+$G61&gt;0,Inputs!$B$11,0))</f>
        <v/>
      </c>
      <c r="K61" s="25" t="str">
        <f t="shared" si="2"/>
        <v/>
      </c>
      <c r="L61" s="25" t="str">
        <f t="shared" si="3"/>
        <v/>
      </c>
      <c r="M61" s="25" t="str">
        <f t="shared" si="4"/>
        <v/>
      </c>
      <c r="N61" s="84" t="str">
        <f t="shared" si="5"/>
        <v/>
      </c>
      <c r="O61" s="23" t="str">
        <f t="shared" si="6"/>
        <v/>
      </c>
    </row>
    <row r="62" spans="1:15" ht="20" customHeight="1">
      <c r="A62" s="22" t="str">
        <f t="shared" si="0"/>
        <v/>
      </c>
      <c r="B62" s="23" t="str">
        <f>IF($E62="","",56)</f>
        <v/>
      </c>
      <c r="C62" s="24" t="str">
        <f t="shared" si="7"/>
        <v/>
      </c>
      <c r="D62" s="23" t="str">
        <f t="shared" si="8"/>
        <v/>
      </c>
      <c r="E62" s="25" t="str">
        <f t="shared" si="9"/>
        <v/>
      </c>
      <c r="F62" s="25" t="str">
        <f>IF($E62="","",ROUND(MIN(Comparison!$B$5,MAX(0,$E62+$H62)),2))</f>
        <v/>
      </c>
      <c r="G62" s="25" t="str">
        <f>IF($E62="","",ROUND(MIN(Inputs!$B$10,MAX(0,$E62+$H62-$F62)),2))</f>
        <v/>
      </c>
      <c r="H62" s="25" t="str">
        <f>IF($E62="","",ROUND(IF(Inputs!$B$12="Daily Simple Interest",$E62*Inputs!$B$6/Inputs!$B$17*$D62,$E62*Inputs!$B$6/Inputs!$B$18),2))</f>
        <v/>
      </c>
      <c r="I62" s="25" t="str">
        <f t="shared" si="1"/>
        <v/>
      </c>
      <c r="J62" s="25" t="str">
        <f>IF($E62="","",IF($F62+$G62&gt;0,Inputs!$B$11,0))</f>
        <v/>
      </c>
      <c r="K62" s="25" t="str">
        <f t="shared" si="2"/>
        <v/>
      </c>
      <c r="L62" s="25" t="str">
        <f t="shared" si="3"/>
        <v/>
      </c>
      <c r="M62" s="25" t="str">
        <f t="shared" si="4"/>
        <v/>
      </c>
      <c r="N62" s="84" t="str">
        <f t="shared" si="5"/>
        <v/>
      </c>
      <c r="O62" s="23" t="str">
        <f t="shared" si="6"/>
        <v/>
      </c>
    </row>
    <row r="63" spans="1:15" ht="20" customHeight="1">
      <c r="A63" s="22" t="str">
        <f t="shared" si="0"/>
        <v/>
      </c>
      <c r="B63" s="23" t="str">
        <f>IF($E63="","",57)</f>
        <v/>
      </c>
      <c r="C63" s="24" t="str">
        <f t="shared" si="7"/>
        <v/>
      </c>
      <c r="D63" s="23" t="str">
        <f t="shared" si="8"/>
        <v/>
      </c>
      <c r="E63" s="25" t="str">
        <f t="shared" si="9"/>
        <v/>
      </c>
      <c r="F63" s="25" t="str">
        <f>IF($E63="","",ROUND(MIN(Comparison!$B$5,MAX(0,$E63+$H63)),2))</f>
        <v/>
      </c>
      <c r="G63" s="25" t="str">
        <f>IF($E63="","",ROUND(MIN(Inputs!$B$10,MAX(0,$E63+$H63-$F63)),2))</f>
        <v/>
      </c>
      <c r="H63" s="25" t="str">
        <f>IF($E63="","",ROUND(IF(Inputs!$B$12="Daily Simple Interest",$E63*Inputs!$B$6/Inputs!$B$17*$D63,$E63*Inputs!$B$6/Inputs!$B$18),2))</f>
        <v/>
      </c>
      <c r="I63" s="25" t="str">
        <f t="shared" si="1"/>
        <v/>
      </c>
      <c r="J63" s="25" t="str">
        <f>IF($E63="","",IF($F63+$G63&gt;0,Inputs!$B$11,0))</f>
        <v/>
      </c>
      <c r="K63" s="25" t="str">
        <f t="shared" si="2"/>
        <v/>
      </c>
      <c r="L63" s="25" t="str">
        <f t="shared" si="3"/>
        <v/>
      </c>
      <c r="M63" s="25" t="str">
        <f t="shared" si="4"/>
        <v/>
      </c>
      <c r="N63" s="84" t="str">
        <f t="shared" si="5"/>
        <v/>
      </c>
      <c r="O63" s="23" t="str">
        <f t="shared" si="6"/>
        <v/>
      </c>
    </row>
    <row r="64" spans="1:15" ht="20" customHeight="1">
      <c r="A64" s="22" t="str">
        <f t="shared" si="0"/>
        <v/>
      </c>
      <c r="B64" s="23" t="str">
        <f>IF($E64="","",58)</f>
        <v/>
      </c>
      <c r="C64" s="24" t="str">
        <f t="shared" si="7"/>
        <v/>
      </c>
      <c r="D64" s="23" t="str">
        <f t="shared" si="8"/>
        <v/>
      </c>
      <c r="E64" s="25" t="str">
        <f t="shared" si="9"/>
        <v/>
      </c>
      <c r="F64" s="25" t="str">
        <f>IF($E64="","",ROUND(MIN(Comparison!$B$5,MAX(0,$E64+$H64)),2))</f>
        <v/>
      </c>
      <c r="G64" s="25" t="str">
        <f>IF($E64="","",ROUND(MIN(Inputs!$B$10,MAX(0,$E64+$H64-$F64)),2))</f>
        <v/>
      </c>
      <c r="H64" s="25" t="str">
        <f>IF($E64="","",ROUND(IF(Inputs!$B$12="Daily Simple Interest",$E64*Inputs!$B$6/Inputs!$B$17*$D64,$E64*Inputs!$B$6/Inputs!$B$18),2))</f>
        <v/>
      </c>
      <c r="I64" s="25" t="str">
        <f t="shared" si="1"/>
        <v/>
      </c>
      <c r="J64" s="25" t="str">
        <f>IF($E64="","",IF($F64+$G64&gt;0,Inputs!$B$11,0))</f>
        <v/>
      </c>
      <c r="K64" s="25" t="str">
        <f t="shared" si="2"/>
        <v/>
      </c>
      <c r="L64" s="25" t="str">
        <f t="shared" si="3"/>
        <v/>
      </c>
      <c r="M64" s="25" t="str">
        <f t="shared" si="4"/>
        <v/>
      </c>
      <c r="N64" s="84" t="str">
        <f t="shared" si="5"/>
        <v/>
      </c>
      <c r="O64" s="23" t="str">
        <f t="shared" si="6"/>
        <v/>
      </c>
    </row>
    <row r="65" spans="1:15" ht="20" customHeight="1">
      <c r="A65" s="22" t="str">
        <f t="shared" si="0"/>
        <v/>
      </c>
      <c r="B65" s="23" t="str">
        <f>IF($E65="","",59)</f>
        <v/>
      </c>
      <c r="C65" s="24" t="str">
        <f t="shared" si="7"/>
        <v/>
      </c>
      <c r="D65" s="23" t="str">
        <f t="shared" si="8"/>
        <v/>
      </c>
      <c r="E65" s="25" t="str">
        <f t="shared" si="9"/>
        <v/>
      </c>
      <c r="F65" s="25" t="str">
        <f>IF($E65="","",ROUND(MIN(Comparison!$B$5,MAX(0,$E65+$H65)),2))</f>
        <v/>
      </c>
      <c r="G65" s="25" t="str">
        <f>IF($E65="","",ROUND(MIN(Inputs!$B$10,MAX(0,$E65+$H65-$F65)),2))</f>
        <v/>
      </c>
      <c r="H65" s="25" t="str">
        <f>IF($E65="","",ROUND(IF(Inputs!$B$12="Daily Simple Interest",$E65*Inputs!$B$6/Inputs!$B$17*$D65,$E65*Inputs!$B$6/Inputs!$B$18),2))</f>
        <v/>
      </c>
      <c r="I65" s="25" t="str">
        <f t="shared" si="1"/>
        <v/>
      </c>
      <c r="J65" s="25" t="str">
        <f>IF($E65="","",IF($F65+$G65&gt;0,Inputs!$B$11,0))</f>
        <v/>
      </c>
      <c r="K65" s="25" t="str">
        <f t="shared" si="2"/>
        <v/>
      </c>
      <c r="L65" s="25" t="str">
        <f t="shared" si="3"/>
        <v/>
      </c>
      <c r="M65" s="25" t="str">
        <f t="shared" si="4"/>
        <v/>
      </c>
      <c r="N65" s="84" t="str">
        <f t="shared" si="5"/>
        <v/>
      </c>
      <c r="O65" s="23" t="str">
        <f t="shared" si="6"/>
        <v/>
      </c>
    </row>
    <row r="66" spans="1:15" ht="20" customHeight="1">
      <c r="A66" s="22" t="str">
        <f t="shared" si="0"/>
        <v/>
      </c>
      <c r="B66" s="23" t="str">
        <f>IF($E66="","",60)</f>
        <v/>
      </c>
      <c r="C66" s="24" t="str">
        <f t="shared" si="7"/>
        <v/>
      </c>
      <c r="D66" s="23" t="str">
        <f t="shared" si="8"/>
        <v/>
      </c>
      <c r="E66" s="25" t="str">
        <f t="shared" si="9"/>
        <v/>
      </c>
      <c r="F66" s="25" t="str">
        <f>IF($E66="","",ROUND(MIN(Comparison!$B$5,MAX(0,$E66+$H66)),2))</f>
        <v/>
      </c>
      <c r="G66" s="25" t="str">
        <f>IF($E66="","",ROUND(MIN(Inputs!$B$10,MAX(0,$E66+$H66-$F66)),2))</f>
        <v/>
      </c>
      <c r="H66" s="25" t="str">
        <f>IF($E66="","",ROUND(IF(Inputs!$B$12="Daily Simple Interest",$E66*Inputs!$B$6/Inputs!$B$17*$D66,$E66*Inputs!$B$6/Inputs!$B$18),2))</f>
        <v/>
      </c>
      <c r="I66" s="25" t="str">
        <f t="shared" si="1"/>
        <v/>
      </c>
      <c r="J66" s="25" t="str">
        <f>IF($E66="","",IF($F66+$G66&gt;0,Inputs!$B$11,0))</f>
        <v/>
      </c>
      <c r="K66" s="25" t="str">
        <f t="shared" si="2"/>
        <v/>
      </c>
      <c r="L66" s="25" t="str">
        <f t="shared" si="3"/>
        <v/>
      </c>
      <c r="M66" s="25" t="str">
        <f t="shared" si="4"/>
        <v/>
      </c>
      <c r="N66" s="84" t="str">
        <f t="shared" si="5"/>
        <v/>
      </c>
      <c r="O66" s="23" t="str">
        <f t="shared" si="6"/>
        <v/>
      </c>
    </row>
    <row r="67" spans="1:15" ht="20" customHeight="1">
      <c r="A67" s="22" t="str">
        <f t="shared" si="0"/>
        <v/>
      </c>
      <c r="B67" s="23" t="str">
        <f>IF($E67="","",61)</f>
        <v/>
      </c>
      <c r="C67" s="24" t="str">
        <f t="shared" si="7"/>
        <v/>
      </c>
      <c r="D67" s="23" t="str">
        <f t="shared" si="8"/>
        <v/>
      </c>
      <c r="E67" s="25" t="str">
        <f t="shared" si="9"/>
        <v/>
      </c>
      <c r="F67" s="25" t="str">
        <f>IF($E67="","",ROUND(MIN(Comparison!$B$5,MAX(0,$E67+$H67)),2))</f>
        <v/>
      </c>
      <c r="G67" s="25" t="str">
        <f>IF($E67="","",ROUND(MIN(Inputs!$B$10,MAX(0,$E67+$H67-$F67)),2))</f>
        <v/>
      </c>
      <c r="H67" s="25" t="str">
        <f>IF($E67="","",ROUND(IF(Inputs!$B$12="Daily Simple Interest",$E67*Inputs!$B$6/Inputs!$B$17*$D67,$E67*Inputs!$B$6/Inputs!$B$18),2))</f>
        <v/>
      </c>
      <c r="I67" s="25" t="str">
        <f t="shared" si="1"/>
        <v/>
      </c>
      <c r="J67" s="25" t="str">
        <f>IF($E67="","",IF($F67+$G67&gt;0,Inputs!$B$11,0))</f>
        <v/>
      </c>
      <c r="K67" s="25" t="str">
        <f t="shared" si="2"/>
        <v/>
      </c>
      <c r="L67" s="25" t="str">
        <f t="shared" si="3"/>
        <v/>
      </c>
      <c r="M67" s="25" t="str">
        <f t="shared" si="4"/>
        <v/>
      </c>
      <c r="N67" s="84" t="str">
        <f t="shared" si="5"/>
        <v/>
      </c>
      <c r="O67" s="23" t="str">
        <f t="shared" si="6"/>
        <v/>
      </c>
    </row>
    <row r="68" spans="1:15" ht="20" customHeight="1">
      <c r="A68" s="22" t="str">
        <f t="shared" si="0"/>
        <v/>
      </c>
      <c r="B68" s="23" t="str">
        <f>IF($E68="","",62)</f>
        <v/>
      </c>
      <c r="C68" s="24" t="str">
        <f t="shared" si="7"/>
        <v/>
      </c>
      <c r="D68" s="23" t="str">
        <f t="shared" si="8"/>
        <v/>
      </c>
      <c r="E68" s="25" t="str">
        <f t="shared" si="9"/>
        <v/>
      </c>
      <c r="F68" s="25" t="str">
        <f>IF($E68="","",ROUND(MIN(Comparison!$B$5,MAX(0,$E68+$H68)),2))</f>
        <v/>
      </c>
      <c r="G68" s="25" t="str">
        <f>IF($E68="","",ROUND(MIN(Inputs!$B$10,MAX(0,$E68+$H68-$F68)),2))</f>
        <v/>
      </c>
      <c r="H68" s="25" t="str">
        <f>IF($E68="","",ROUND(IF(Inputs!$B$12="Daily Simple Interest",$E68*Inputs!$B$6/Inputs!$B$17*$D68,$E68*Inputs!$B$6/Inputs!$B$18),2))</f>
        <v/>
      </c>
      <c r="I68" s="25" t="str">
        <f t="shared" si="1"/>
        <v/>
      </c>
      <c r="J68" s="25" t="str">
        <f>IF($E68="","",IF($F68+$G68&gt;0,Inputs!$B$11,0))</f>
        <v/>
      </c>
      <c r="K68" s="25" t="str">
        <f t="shared" si="2"/>
        <v/>
      </c>
      <c r="L68" s="25" t="str">
        <f t="shared" si="3"/>
        <v/>
      </c>
      <c r="M68" s="25" t="str">
        <f t="shared" si="4"/>
        <v/>
      </c>
      <c r="N68" s="84" t="str">
        <f t="shared" si="5"/>
        <v/>
      </c>
      <c r="O68" s="23" t="str">
        <f t="shared" si="6"/>
        <v/>
      </c>
    </row>
    <row r="69" spans="1:15" ht="20" customHeight="1">
      <c r="A69" s="22" t="str">
        <f t="shared" si="0"/>
        <v/>
      </c>
      <c r="B69" s="23" t="str">
        <f>IF($E69="","",63)</f>
        <v/>
      </c>
      <c r="C69" s="24" t="str">
        <f t="shared" si="7"/>
        <v/>
      </c>
      <c r="D69" s="23" t="str">
        <f t="shared" si="8"/>
        <v/>
      </c>
      <c r="E69" s="25" t="str">
        <f t="shared" si="9"/>
        <v/>
      </c>
      <c r="F69" s="25" t="str">
        <f>IF($E69="","",ROUND(MIN(Comparison!$B$5,MAX(0,$E69+$H69)),2))</f>
        <v/>
      </c>
      <c r="G69" s="25" t="str">
        <f>IF($E69="","",ROUND(MIN(Inputs!$B$10,MAX(0,$E69+$H69-$F69)),2))</f>
        <v/>
      </c>
      <c r="H69" s="25" t="str">
        <f>IF($E69="","",ROUND(IF(Inputs!$B$12="Daily Simple Interest",$E69*Inputs!$B$6/Inputs!$B$17*$D69,$E69*Inputs!$B$6/Inputs!$B$18),2))</f>
        <v/>
      </c>
      <c r="I69" s="25" t="str">
        <f t="shared" si="1"/>
        <v/>
      </c>
      <c r="J69" s="25" t="str">
        <f>IF($E69="","",IF($F69+$G69&gt;0,Inputs!$B$11,0))</f>
        <v/>
      </c>
      <c r="K69" s="25" t="str">
        <f t="shared" si="2"/>
        <v/>
      </c>
      <c r="L69" s="25" t="str">
        <f t="shared" si="3"/>
        <v/>
      </c>
      <c r="M69" s="25" t="str">
        <f t="shared" si="4"/>
        <v/>
      </c>
      <c r="N69" s="84" t="str">
        <f t="shared" si="5"/>
        <v/>
      </c>
      <c r="O69" s="23" t="str">
        <f t="shared" si="6"/>
        <v/>
      </c>
    </row>
    <row r="70" spans="1:15" ht="20" customHeight="1">
      <c r="A70" s="22" t="str">
        <f t="shared" si="0"/>
        <v/>
      </c>
      <c r="B70" s="23" t="str">
        <f>IF($E70="","",64)</f>
        <v/>
      </c>
      <c r="C70" s="24" t="str">
        <f t="shared" si="7"/>
        <v/>
      </c>
      <c r="D70" s="23" t="str">
        <f t="shared" si="8"/>
        <v/>
      </c>
      <c r="E70" s="25" t="str">
        <f t="shared" si="9"/>
        <v/>
      </c>
      <c r="F70" s="25" t="str">
        <f>IF($E70="","",ROUND(MIN(Comparison!$B$5,MAX(0,$E70+$H70)),2))</f>
        <v/>
      </c>
      <c r="G70" s="25" t="str">
        <f>IF($E70="","",ROUND(MIN(Inputs!$B$10,MAX(0,$E70+$H70-$F70)),2))</f>
        <v/>
      </c>
      <c r="H70" s="25" t="str">
        <f>IF($E70="","",ROUND(IF(Inputs!$B$12="Daily Simple Interest",$E70*Inputs!$B$6/Inputs!$B$17*$D70,$E70*Inputs!$B$6/Inputs!$B$18),2))</f>
        <v/>
      </c>
      <c r="I70" s="25" t="str">
        <f t="shared" si="1"/>
        <v/>
      </c>
      <c r="J70" s="25" t="str">
        <f>IF($E70="","",IF($F70+$G70&gt;0,Inputs!$B$11,0))</f>
        <v/>
      </c>
      <c r="K70" s="25" t="str">
        <f t="shared" si="2"/>
        <v/>
      </c>
      <c r="L70" s="25" t="str">
        <f t="shared" si="3"/>
        <v/>
      </c>
      <c r="M70" s="25" t="str">
        <f t="shared" si="4"/>
        <v/>
      </c>
      <c r="N70" s="84" t="str">
        <f t="shared" si="5"/>
        <v/>
      </c>
      <c r="O70" s="23" t="str">
        <f t="shared" si="6"/>
        <v/>
      </c>
    </row>
    <row r="71" spans="1:15" ht="20" customHeight="1">
      <c r="A71" s="22" t="str">
        <f t="shared" ref="A71:A134" si="10">IF($E71="","","Monthly")</f>
        <v/>
      </c>
      <c r="B71" s="23" t="str">
        <f>IF($E71="","",65)</f>
        <v/>
      </c>
      <c r="C71" s="24" t="str">
        <f t="shared" si="7"/>
        <v/>
      </c>
      <c r="D71" s="23" t="str">
        <f t="shared" si="8"/>
        <v/>
      </c>
      <c r="E71" s="25" t="str">
        <f t="shared" si="9"/>
        <v/>
      </c>
      <c r="F71" s="25" t="str">
        <f>IF($E71="","",ROUND(MIN(Comparison!$B$5,MAX(0,$E71+$H71)),2))</f>
        <v/>
      </c>
      <c r="G71" s="25" t="str">
        <f>IF($E71="","",ROUND(MIN(Inputs!$B$10,MAX(0,$E71+$H71-$F71)),2))</f>
        <v/>
      </c>
      <c r="H71" s="25" t="str">
        <f>IF($E71="","",ROUND(IF(Inputs!$B$12="Daily Simple Interest",$E71*Inputs!$B$6/Inputs!$B$17*$D71,$E71*Inputs!$B$6/Inputs!$B$18),2))</f>
        <v/>
      </c>
      <c r="I71" s="25" t="str">
        <f t="shared" ref="I71:I134" si="11">IF($E71="","",ROUND($F71+$G71-$H71,2))</f>
        <v/>
      </c>
      <c r="J71" s="25" t="str">
        <f>IF($E71="","",IF($F71+$G71&gt;0,Inputs!$B$11,0))</f>
        <v/>
      </c>
      <c r="K71" s="25" t="str">
        <f t="shared" ref="K71:K134" si="12">IF($E71="","",ROUND(MAX(0,$E71-$I71),2))</f>
        <v/>
      </c>
      <c r="L71" s="25" t="str">
        <f t="shared" ref="L71:L134" si="13">IF($E71="","",$F71+$G71)</f>
        <v/>
      </c>
      <c r="M71" s="25" t="str">
        <f t="shared" ref="M71:M134" si="14">IF($E71="","",0)</f>
        <v/>
      </c>
      <c r="N71" s="84" t="str">
        <f t="shared" ref="N71:N134" si="15">IF($E71="","",IF($K71&lt;=0.005,"PAID OFF","ACTIVE"))</f>
        <v/>
      </c>
      <c r="O71" s="23" t="str">
        <f t="shared" ref="O71:O134" si="16">IF($E71="","",IF($F71+$G71&gt;0,1,0))</f>
        <v/>
      </c>
    </row>
    <row r="72" spans="1:15" ht="20" customHeight="1">
      <c r="A72" s="22" t="str">
        <f t="shared" si="10"/>
        <v/>
      </c>
      <c r="B72" s="23" t="str">
        <f>IF($E72="","",66)</f>
        <v/>
      </c>
      <c r="C72" s="24" t="str">
        <f t="shared" ref="C72:C135" si="17">IF($E72="","",EDATE($C71,1))</f>
        <v/>
      </c>
      <c r="D72" s="23" t="str">
        <f t="shared" ref="D72:D135" si="18">IF($E72="","",$C72-$C71)</f>
        <v/>
      </c>
      <c r="E72" s="25" t="str">
        <f t="shared" ref="E72:E135" si="19">IF($K71&gt;0.005,$K71,"")</f>
        <v/>
      </c>
      <c r="F72" s="25" t="str">
        <f>IF($E72="","",ROUND(MIN(Comparison!$B$5,MAX(0,$E72+$H72)),2))</f>
        <v/>
      </c>
      <c r="G72" s="25" t="str">
        <f>IF($E72="","",ROUND(MIN(Inputs!$B$10,MAX(0,$E72+$H72-$F72)),2))</f>
        <v/>
      </c>
      <c r="H72" s="25" t="str">
        <f>IF($E72="","",ROUND(IF(Inputs!$B$12="Daily Simple Interest",$E72*Inputs!$B$6/Inputs!$B$17*$D72,$E72*Inputs!$B$6/Inputs!$B$18),2))</f>
        <v/>
      </c>
      <c r="I72" s="25" t="str">
        <f t="shared" si="11"/>
        <v/>
      </c>
      <c r="J72" s="25" t="str">
        <f>IF($E72="","",IF($F72+$G72&gt;0,Inputs!$B$11,0))</f>
        <v/>
      </c>
      <c r="K72" s="25" t="str">
        <f t="shared" si="12"/>
        <v/>
      </c>
      <c r="L72" s="25" t="str">
        <f t="shared" si="13"/>
        <v/>
      </c>
      <c r="M72" s="25" t="str">
        <f t="shared" si="14"/>
        <v/>
      </c>
      <c r="N72" s="84" t="str">
        <f t="shared" si="15"/>
        <v/>
      </c>
      <c r="O72" s="23" t="str">
        <f t="shared" si="16"/>
        <v/>
      </c>
    </row>
    <row r="73" spans="1:15" ht="20" customHeight="1">
      <c r="A73" s="22" t="str">
        <f t="shared" si="10"/>
        <v/>
      </c>
      <c r="B73" s="23" t="str">
        <f>IF($E73="","",67)</f>
        <v/>
      </c>
      <c r="C73" s="24" t="str">
        <f t="shared" si="17"/>
        <v/>
      </c>
      <c r="D73" s="23" t="str">
        <f t="shared" si="18"/>
        <v/>
      </c>
      <c r="E73" s="25" t="str">
        <f t="shared" si="19"/>
        <v/>
      </c>
      <c r="F73" s="25" t="str">
        <f>IF($E73="","",ROUND(MIN(Comparison!$B$5,MAX(0,$E73+$H73)),2))</f>
        <v/>
      </c>
      <c r="G73" s="25" t="str">
        <f>IF($E73="","",ROUND(MIN(Inputs!$B$10,MAX(0,$E73+$H73-$F73)),2))</f>
        <v/>
      </c>
      <c r="H73" s="25" t="str">
        <f>IF($E73="","",ROUND(IF(Inputs!$B$12="Daily Simple Interest",$E73*Inputs!$B$6/Inputs!$B$17*$D73,$E73*Inputs!$B$6/Inputs!$B$18),2))</f>
        <v/>
      </c>
      <c r="I73" s="25" t="str">
        <f t="shared" si="11"/>
        <v/>
      </c>
      <c r="J73" s="25" t="str">
        <f>IF($E73="","",IF($F73+$G73&gt;0,Inputs!$B$11,0))</f>
        <v/>
      </c>
      <c r="K73" s="25" t="str">
        <f t="shared" si="12"/>
        <v/>
      </c>
      <c r="L73" s="25" t="str">
        <f t="shared" si="13"/>
        <v/>
      </c>
      <c r="M73" s="25" t="str">
        <f t="shared" si="14"/>
        <v/>
      </c>
      <c r="N73" s="84" t="str">
        <f t="shared" si="15"/>
        <v/>
      </c>
      <c r="O73" s="23" t="str">
        <f t="shared" si="16"/>
        <v/>
      </c>
    </row>
    <row r="74" spans="1:15" ht="20" customHeight="1">
      <c r="A74" s="22" t="str">
        <f t="shared" si="10"/>
        <v/>
      </c>
      <c r="B74" s="23" t="str">
        <f>IF($E74="","",68)</f>
        <v/>
      </c>
      <c r="C74" s="24" t="str">
        <f t="shared" si="17"/>
        <v/>
      </c>
      <c r="D74" s="23" t="str">
        <f t="shared" si="18"/>
        <v/>
      </c>
      <c r="E74" s="25" t="str">
        <f t="shared" si="19"/>
        <v/>
      </c>
      <c r="F74" s="25" t="str">
        <f>IF($E74="","",ROUND(MIN(Comparison!$B$5,MAX(0,$E74+$H74)),2))</f>
        <v/>
      </c>
      <c r="G74" s="25" t="str">
        <f>IF($E74="","",ROUND(MIN(Inputs!$B$10,MAX(0,$E74+$H74-$F74)),2))</f>
        <v/>
      </c>
      <c r="H74" s="25" t="str">
        <f>IF($E74="","",ROUND(IF(Inputs!$B$12="Daily Simple Interest",$E74*Inputs!$B$6/Inputs!$B$17*$D74,$E74*Inputs!$B$6/Inputs!$B$18),2))</f>
        <v/>
      </c>
      <c r="I74" s="25" t="str">
        <f t="shared" si="11"/>
        <v/>
      </c>
      <c r="J74" s="25" t="str">
        <f>IF($E74="","",IF($F74+$G74&gt;0,Inputs!$B$11,0))</f>
        <v/>
      </c>
      <c r="K74" s="25" t="str">
        <f t="shared" si="12"/>
        <v/>
      </c>
      <c r="L74" s="25" t="str">
        <f t="shared" si="13"/>
        <v/>
      </c>
      <c r="M74" s="25" t="str">
        <f t="shared" si="14"/>
        <v/>
      </c>
      <c r="N74" s="84" t="str">
        <f t="shared" si="15"/>
        <v/>
      </c>
      <c r="O74" s="23" t="str">
        <f t="shared" si="16"/>
        <v/>
      </c>
    </row>
    <row r="75" spans="1:15" ht="20" customHeight="1">
      <c r="A75" s="22" t="str">
        <f t="shared" si="10"/>
        <v/>
      </c>
      <c r="B75" s="23" t="str">
        <f>IF($E75="","",69)</f>
        <v/>
      </c>
      <c r="C75" s="24" t="str">
        <f t="shared" si="17"/>
        <v/>
      </c>
      <c r="D75" s="23" t="str">
        <f t="shared" si="18"/>
        <v/>
      </c>
      <c r="E75" s="25" t="str">
        <f t="shared" si="19"/>
        <v/>
      </c>
      <c r="F75" s="25" t="str">
        <f>IF($E75="","",ROUND(MIN(Comparison!$B$5,MAX(0,$E75+$H75)),2))</f>
        <v/>
      </c>
      <c r="G75" s="25" t="str">
        <f>IF($E75="","",ROUND(MIN(Inputs!$B$10,MAX(0,$E75+$H75-$F75)),2))</f>
        <v/>
      </c>
      <c r="H75" s="25" t="str">
        <f>IF($E75="","",ROUND(IF(Inputs!$B$12="Daily Simple Interest",$E75*Inputs!$B$6/Inputs!$B$17*$D75,$E75*Inputs!$B$6/Inputs!$B$18),2))</f>
        <v/>
      </c>
      <c r="I75" s="25" t="str">
        <f t="shared" si="11"/>
        <v/>
      </c>
      <c r="J75" s="25" t="str">
        <f>IF($E75="","",IF($F75+$G75&gt;0,Inputs!$B$11,0))</f>
        <v/>
      </c>
      <c r="K75" s="25" t="str">
        <f t="shared" si="12"/>
        <v/>
      </c>
      <c r="L75" s="25" t="str">
        <f t="shared" si="13"/>
        <v/>
      </c>
      <c r="M75" s="25" t="str">
        <f t="shared" si="14"/>
        <v/>
      </c>
      <c r="N75" s="84" t="str">
        <f t="shared" si="15"/>
        <v/>
      </c>
      <c r="O75" s="23" t="str">
        <f t="shared" si="16"/>
        <v/>
      </c>
    </row>
    <row r="76" spans="1:15" ht="20" customHeight="1">
      <c r="A76" s="22" t="str">
        <f t="shared" si="10"/>
        <v/>
      </c>
      <c r="B76" s="23" t="str">
        <f>IF($E76="","",70)</f>
        <v/>
      </c>
      <c r="C76" s="24" t="str">
        <f t="shared" si="17"/>
        <v/>
      </c>
      <c r="D76" s="23" t="str">
        <f t="shared" si="18"/>
        <v/>
      </c>
      <c r="E76" s="25" t="str">
        <f t="shared" si="19"/>
        <v/>
      </c>
      <c r="F76" s="25" t="str">
        <f>IF($E76="","",ROUND(MIN(Comparison!$B$5,MAX(0,$E76+$H76)),2))</f>
        <v/>
      </c>
      <c r="G76" s="25" t="str">
        <f>IF($E76="","",ROUND(MIN(Inputs!$B$10,MAX(0,$E76+$H76-$F76)),2))</f>
        <v/>
      </c>
      <c r="H76" s="25" t="str">
        <f>IF($E76="","",ROUND(IF(Inputs!$B$12="Daily Simple Interest",$E76*Inputs!$B$6/Inputs!$B$17*$D76,$E76*Inputs!$B$6/Inputs!$B$18),2))</f>
        <v/>
      </c>
      <c r="I76" s="25" t="str">
        <f t="shared" si="11"/>
        <v/>
      </c>
      <c r="J76" s="25" t="str">
        <f>IF($E76="","",IF($F76+$G76&gt;0,Inputs!$B$11,0))</f>
        <v/>
      </c>
      <c r="K76" s="25" t="str">
        <f t="shared" si="12"/>
        <v/>
      </c>
      <c r="L76" s="25" t="str">
        <f t="shared" si="13"/>
        <v/>
      </c>
      <c r="M76" s="25" t="str">
        <f t="shared" si="14"/>
        <v/>
      </c>
      <c r="N76" s="84" t="str">
        <f t="shared" si="15"/>
        <v/>
      </c>
      <c r="O76" s="23" t="str">
        <f t="shared" si="16"/>
        <v/>
      </c>
    </row>
    <row r="77" spans="1:15" ht="20" customHeight="1">
      <c r="A77" s="22" t="str">
        <f t="shared" si="10"/>
        <v/>
      </c>
      <c r="B77" s="23" t="str">
        <f>IF($E77="","",71)</f>
        <v/>
      </c>
      <c r="C77" s="24" t="str">
        <f t="shared" si="17"/>
        <v/>
      </c>
      <c r="D77" s="23" t="str">
        <f t="shared" si="18"/>
        <v/>
      </c>
      <c r="E77" s="25" t="str">
        <f t="shared" si="19"/>
        <v/>
      </c>
      <c r="F77" s="25" t="str">
        <f>IF($E77="","",ROUND(MIN(Comparison!$B$5,MAX(0,$E77+$H77)),2))</f>
        <v/>
      </c>
      <c r="G77" s="25" t="str">
        <f>IF($E77="","",ROUND(MIN(Inputs!$B$10,MAX(0,$E77+$H77-$F77)),2))</f>
        <v/>
      </c>
      <c r="H77" s="25" t="str">
        <f>IF($E77="","",ROUND(IF(Inputs!$B$12="Daily Simple Interest",$E77*Inputs!$B$6/Inputs!$B$17*$D77,$E77*Inputs!$B$6/Inputs!$B$18),2))</f>
        <v/>
      </c>
      <c r="I77" s="25" t="str">
        <f t="shared" si="11"/>
        <v/>
      </c>
      <c r="J77" s="25" t="str">
        <f>IF($E77="","",IF($F77+$G77&gt;0,Inputs!$B$11,0))</f>
        <v/>
      </c>
      <c r="K77" s="25" t="str">
        <f t="shared" si="12"/>
        <v/>
      </c>
      <c r="L77" s="25" t="str">
        <f t="shared" si="13"/>
        <v/>
      </c>
      <c r="M77" s="25" t="str">
        <f t="shared" si="14"/>
        <v/>
      </c>
      <c r="N77" s="84" t="str">
        <f t="shared" si="15"/>
        <v/>
      </c>
      <c r="O77" s="23" t="str">
        <f t="shared" si="16"/>
        <v/>
      </c>
    </row>
    <row r="78" spans="1:15" ht="20" customHeight="1">
      <c r="A78" s="22" t="str">
        <f t="shared" si="10"/>
        <v/>
      </c>
      <c r="B78" s="23" t="str">
        <f>IF($E78="","",72)</f>
        <v/>
      </c>
      <c r="C78" s="24" t="str">
        <f t="shared" si="17"/>
        <v/>
      </c>
      <c r="D78" s="23" t="str">
        <f t="shared" si="18"/>
        <v/>
      </c>
      <c r="E78" s="25" t="str">
        <f t="shared" si="19"/>
        <v/>
      </c>
      <c r="F78" s="25" t="str">
        <f>IF($E78="","",ROUND(MIN(Comparison!$B$5,MAX(0,$E78+$H78)),2))</f>
        <v/>
      </c>
      <c r="G78" s="25" t="str">
        <f>IF($E78="","",ROUND(MIN(Inputs!$B$10,MAX(0,$E78+$H78-$F78)),2))</f>
        <v/>
      </c>
      <c r="H78" s="25" t="str">
        <f>IF($E78="","",ROUND(IF(Inputs!$B$12="Daily Simple Interest",$E78*Inputs!$B$6/Inputs!$B$17*$D78,$E78*Inputs!$B$6/Inputs!$B$18),2))</f>
        <v/>
      </c>
      <c r="I78" s="25" t="str">
        <f t="shared" si="11"/>
        <v/>
      </c>
      <c r="J78" s="25" t="str">
        <f>IF($E78="","",IF($F78+$G78&gt;0,Inputs!$B$11,0))</f>
        <v/>
      </c>
      <c r="K78" s="25" t="str">
        <f t="shared" si="12"/>
        <v/>
      </c>
      <c r="L78" s="25" t="str">
        <f t="shared" si="13"/>
        <v/>
      </c>
      <c r="M78" s="25" t="str">
        <f t="shared" si="14"/>
        <v/>
      </c>
      <c r="N78" s="84" t="str">
        <f t="shared" si="15"/>
        <v/>
      </c>
      <c r="O78" s="23" t="str">
        <f t="shared" si="16"/>
        <v/>
      </c>
    </row>
    <row r="79" spans="1:15" ht="20" customHeight="1">
      <c r="A79" s="22" t="str">
        <f t="shared" si="10"/>
        <v/>
      </c>
      <c r="B79" s="23" t="str">
        <f>IF($E79="","",73)</f>
        <v/>
      </c>
      <c r="C79" s="24" t="str">
        <f t="shared" si="17"/>
        <v/>
      </c>
      <c r="D79" s="23" t="str">
        <f t="shared" si="18"/>
        <v/>
      </c>
      <c r="E79" s="25" t="str">
        <f t="shared" si="19"/>
        <v/>
      </c>
      <c r="F79" s="25" t="str">
        <f>IF($E79="","",ROUND(MIN(Comparison!$B$5,MAX(0,$E79+$H79)),2))</f>
        <v/>
      </c>
      <c r="G79" s="25" t="str">
        <f>IF($E79="","",ROUND(MIN(Inputs!$B$10,MAX(0,$E79+$H79-$F79)),2))</f>
        <v/>
      </c>
      <c r="H79" s="25" t="str">
        <f>IF($E79="","",ROUND(IF(Inputs!$B$12="Daily Simple Interest",$E79*Inputs!$B$6/Inputs!$B$17*$D79,$E79*Inputs!$B$6/Inputs!$B$18),2))</f>
        <v/>
      </c>
      <c r="I79" s="25" t="str">
        <f t="shared" si="11"/>
        <v/>
      </c>
      <c r="J79" s="25" t="str">
        <f>IF($E79="","",IF($F79+$G79&gt;0,Inputs!$B$11,0))</f>
        <v/>
      </c>
      <c r="K79" s="25" t="str">
        <f t="shared" si="12"/>
        <v/>
      </c>
      <c r="L79" s="25" t="str">
        <f t="shared" si="13"/>
        <v/>
      </c>
      <c r="M79" s="25" t="str">
        <f t="shared" si="14"/>
        <v/>
      </c>
      <c r="N79" s="84" t="str">
        <f t="shared" si="15"/>
        <v/>
      </c>
      <c r="O79" s="23" t="str">
        <f t="shared" si="16"/>
        <v/>
      </c>
    </row>
    <row r="80" spans="1:15" ht="20" customHeight="1">
      <c r="A80" s="22" t="str">
        <f t="shared" si="10"/>
        <v/>
      </c>
      <c r="B80" s="23" t="str">
        <f>IF($E80="","",74)</f>
        <v/>
      </c>
      <c r="C80" s="24" t="str">
        <f t="shared" si="17"/>
        <v/>
      </c>
      <c r="D80" s="23" t="str">
        <f t="shared" si="18"/>
        <v/>
      </c>
      <c r="E80" s="25" t="str">
        <f t="shared" si="19"/>
        <v/>
      </c>
      <c r="F80" s="25" t="str">
        <f>IF($E80="","",ROUND(MIN(Comparison!$B$5,MAX(0,$E80+$H80)),2))</f>
        <v/>
      </c>
      <c r="G80" s="25" t="str">
        <f>IF($E80="","",ROUND(MIN(Inputs!$B$10,MAX(0,$E80+$H80-$F80)),2))</f>
        <v/>
      </c>
      <c r="H80" s="25" t="str">
        <f>IF($E80="","",ROUND(IF(Inputs!$B$12="Daily Simple Interest",$E80*Inputs!$B$6/Inputs!$B$17*$D80,$E80*Inputs!$B$6/Inputs!$B$18),2))</f>
        <v/>
      </c>
      <c r="I80" s="25" t="str">
        <f t="shared" si="11"/>
        <v/>
      </c>
      <c r="J80" s="25" t="str">
        <f>IF($E80="","",IF($F80+$G80&gt;0,Inputs!$B$11,0))</f>
        <v/>
      </c>
      <c r="K80" s="25" t="str">
        <f t="shared" si="12"/>
        <v/>
      </c>
      <c r="L80" s="25" t="str">
        <f t="shared" si="13"/>
        <v/>
      </c>
      <c r="M80" s="25" t="str">
        <f t="shared" si="14"/>
        <v/>
      </c>
      <c r="N80" s="84" t="str">
        <f t="shared" si="15"/>
        <v/>
      </c>
      <c r="O80" s="23" t="str">
        <f t="shared" si="16"/>
        <v/>
      </c>
    </row>
    <row r="81" spans="1:15" ht="20" customHeight="1">
      <c r="A81" s="22" t="str">
        <f t="shared" si="10"/>
        <v/>
      </c>
      <c r="B81" s="23" t="str">
        <f>IF($E81="","",75)</f>
        <v/>
      </c>
      <c r="C81" s="24" t="str">
        <f t="shared" si="17"/>
        <v/>
      </c>
      <c r="D81" s="23" t="str">
        <f t="shared" si="18"/>
        <v/>
      </c>
      <c r="E81" s="25" t="str">
        <f t="shared" si="19"/>
        <v/>
      </c>
      <c r="F81" s="25" t="str">
        <f>IF($E81="","",ROUND(MIN(Comparison!$B$5,MAX(0,$E81+$H81)),2))</f>
        <v/>
      </c>
      <c r="G81" s="25" t="str">
        <f>IF($E81="","",ROUND(MIN(Inputs!$B$10,MAX(0,$E81+$H81-$F81)),2))</f>
        <v/>
      </c>
      <c r="H81" s="25" t="str">
        <f>IF($E81="","",ROUND(IF(Inputs!$B$12="Daily Simple Interest",$E81*Inputs!$B$6/Inputs!$B$17*$D81,$E81*Inputs!$B$6/Inputs!$B$18),2))</f>
        <v/>
      </c>
      <c r="I81" s="25" t="str">
        <f t="shared" si="11"/>
        <v/>
      </c>
      <c r="J81" s="25" t="str">
        <f>IF($E81="","",IF($F81+$G81&gt;0,Inputs!$B$11,0))</f>
        <v/>
      </c>
      <c r="K81" s="25" t="str">
        <f t="shared" si="12"/>
        <v/>
      </c>
      <c r="L81" s="25" t="str">
        <f t="shared" si="13"/>
        <v/>
      </c>
      <c r="M81" s="25" t="str">
        <f t="shared" si="14"/>
        <v/>
      </c>
      <c r="N81" s="84" t="str">
        <f t="shared" si="15"/>
        <v/>
      </c>
      <c r="O81" s="23" t="str">
        <f t="shared" si="16"/>
        <v/>
      </c>
    </row>
    <row r="82" spans="1:15" ht="20" customHeight="1">
      <c r="A82" s="22" t="str">
        <f t="shared" si="10"/>
        <v/>
      </c>
      <c r="B82" s="23" t="str">
        <f>IF($E82="","",76)</f>
        <v/>
      </c>
      <c r="C82" s="24" t="str">
        <f t="shared" si="17"/>
        <v/>
      </c>
      <c r="D82" s="23" t="str">
        <f t="shared" si="18"/>
        <v/>
      </c>
      <c r="E82" s="25" t="str">
        <f t="shared" si="19"/>
        <v/>
      </c>
      <c r="F82" s="25" t="str">
        <f>IF($E82="","",ROUND(MIN(Comparison!$B$5,MAX(0,$E82+$H82)),2))</f>
        <v/>
      </c>
      <c r="G82" s="25" t="str">
        <f>IF($E82="","",ROUND(MIN(Inputs!$B$10,MAX(0,$E82+$H82-$F82)),2))</f>
        <v/>
      </c>
      <c r="H82" s="25" t="str">
        <f>IF($E82="","",ROUND(IF(Inputs!$B$12="Daily Simple Interest",$E82*Inputs!$B$6/Inputs!$B$17*$D82,$E82*Inputs!$B$6/Inputs!$B$18),2))</f>
        <v/>
      </c>
      <c r="I82" s="25" t="str">
        <f t="shared" si="11"/>
        <v/>
      </c>
      <c r="J82" s="25" t="str">
        <f>IF($E82="","",IF($F82+$G82&gt;0,Inputs!$B$11,0))</f>
        <v/>
      </c>
      <c r="K82" s="25" t="str">
        <f t="shared" si="12"/>
        <v/>
      </c>
      <c r="L82" s="25" t="str">
        <f t="shared" si="13"/>
        <v/>
      </c>
      <c r="M82" s="25" t="str">
        <f t="shared" si="14"/>
        <v/>
      </c>
      <c r="N82" s="84" t="str">
        <f t="shared" si="15"/>
        <v/>
      </c>
      <c r="O82" s="23" t="str">
        <f t="shared" si="16"/>
        <v/>
      </c>
    </row>
    <row r="83" spans="1:15" ht="20" customHeight="1">
      <c r="A83" s="22" t="str">
        <f t="shared" si="10"/>
        <v/>
      </c>
      <c r="B83" s="23" t="str">
        <f>IF($E83="","",77)</f>
        <v/>
      </c>
      <c r="C83" s="24" t="str">
        <f t="shared" si="17"/>
        <v/>
      </c>
      <c r="D83" s="23" t="str">
        <f t="shared" si="18"/>
        <v/>
      </c>
      <c r="E83" s="25" t="str">
        <f t="shared" si="19"/>
        <v/>
      </c>
      <c r="F83" s="25" t="str">
        <f>IF($E83="","",ROUND(MIN(Comparison!$B$5,MAX(0,$E83+$H83)),2))</f>
        <v/>
      </c>
      <c r="G83" s="25" t="str">
        <f>IF($E83="","",ROUND(MIN(Inputs!$B$10,MAX(0,$E83+$H83-$F83)),2))</f>
        <v/>
      </c>
      <c r="H83" s="25" t="str">
        <f>IF($E83="","",ROUND(IF(Inputs!$B$12="Daily Simple Interest",$E83*Inputs!$B$6/Inputs!$B$17*$D83,$E83*Inputs!$B$6/Inputs!$B$18),2))</f>
        <v/>
      </c>
      <c r="I83" s="25" t="str">
        <f t="shared" si="11"/>
        <v/>
      </c>
      <c r="J83" s="25" t="str">
        <f>IF($E83="","",IF($F83+$G83&gt;0,Inputs!$B$11,0))</f>
        <v/>
      </c>
      <c r="K83" s="25" t="str">
        <f t="shared" si="12"/>
        <v/>
      </c>
      <c r="L83" s="25" t="str">
        <f t="shared" si="13"/>
        <v/>
      </c>
      <c r="M83" s="25" t="str">
        <f t="shared" si="14"/>
        <v/>
      </c>
      <c r="N83" s="84" t="str">
        <f t="shared" si="15"/>
        <v/>
      </c>
      <c r="O83" s="23" t="str">
        <f t="shared" si="16"/>
        <v/>
      </c>
    </row>
    <row r="84" spans="1:15" ht="20" customHeight="1">
      <c r="A84" s="22" t="str">
        <f t="shared" si="10"/>
        <v/>
      </c>
      <c r="B84" s="23" t="str">
        <f>IF($E84="","",78)</f>
        <v/>
      </c>
      <c r="C84" s="24" t="str">
        <f t="shared" si="17"/>
        <v/>
      </c>
      <c r="D84" s="23" t="str">
        <f t="shared" si="18"/>
        <v/>
      </c>
      <c r="E84" s="25" t="str">
        <f t="shared" si="19"/>
        <v/>
      </c>
      <c r="F84" s="25" t="str">
        <f>IF($E84="","",ROUND(MIN(Comparison!$B$5,MAX(0,$E84+$H84)),2))</f>
        <v/>
      </c>
      <c r="G84" s="25" t="str">
        <f>IF($E84="","",ROUND(MIN(Inputs!$B$10,MAX(0,$E84+$H84-$F84)),2))</f>
        <v/>
      </c>
      <c r="H84" s="25" t="str">
        <f>IF($E84="","",ROUND(IF(Inputs!$B$12="Daily Simple Interest",$E84*Inputs!$B$6/Inputs!$B$17*$D84,$E84*Inputs!$B$6/Inputs!$B$18),2))</f>
        <v/>
      </c>
      <c r="I84" s="25" t="str">
        <f t="shared" si="11"/>
        <v/>
      </c>
      <c r="J84" s="25" t="str">
        <f>IF($E84="","",IF($F84+$G84&gt;0,Inputs!$B$11,0))</f>
        <v/>
      </c>
      <c r="K84" s="25" t="str">
        <f t="shared" si="12"/>
        <v/>
      </c>
      <c r="L84" s="25" t="str">
        <f t="shared" si="13"/>
        <v/>
      </c>
      <c r="M84" s="25" t="str">
        <f t="shared" si="14"/>
        <v/>
      </c>
      <c r="N84" s="84" t="str">
        <f t="shared" si="15"/>
        <v/>
      </c>
      <c r="O84" s="23" t="str">
        <f t="shared" si="16"/>
        <v/>
      </c>
    </row>
    <row r="85" spans="1:15" ht="20" customHeight="1">
      <c r="A85" s="22" t="str">
        <f t="shared" si="10"/>
        <v/>
      </c>
      <c r="B85" s="23" t="str">
        <f>IF($E85="","",79)</f>
        <v/>
      </c>
      <c r="C85" s="24" t="str">
        <f t="shared" si="17"/>
        <v/>
      </c>
      <c r="D85" s="23" t="str">
        <f t="shared" si="18"/>
        <v/>
      </c>
      <c r="E85" s="25" t="str">
        <f t="shared" si="19"/>
        <v/>
      </c>
      <c r="F85" s="25" t="str">
        <f>IF($E85="","",ROUND(MIN(Comparison!$B$5,MAX(0,$E85+$H85)),2))</f>
        <v/>
      </c>
      <c r="G85" s="25" t="str">
        <f>IF($E85="","",ROUND(MIN(Inputs!$B$10,MAX(0,$E85+$H85-$F85)),2))</f>
        <v/>
      </c>
      <c r="H85" s="25" t="str">
        <f>IF($E85="","",ROUND(IF(Inputs!$B$12="Daily Simple Interest",$E85*Inputs!$B$6/Inputs!$B$17*$D85,$E85*Inputs!$B$6/Inputs!$B$18),2))</f>
        <v/>
      </c>
      <c r="I85" s="25" t="str">
        <f t="shared" si="11"/>
        <v/>
      </c>
      <c r="J85" s="25" t="str">
        <f>IF($E85="","",IF($F85+$G85&gt;0,Inputs!$B$11,0))</f>
        <v/>
      </c>
      <c r="K85" s="25" t="str">
        <f t="shared" si="12"/>
        <v/>
      </c>
      <c r="L85" s="25" t="str">
        <f t="shared" si="13"/>
        <v/>
      </c>
      <c r="M85" s="25" t="str">
        <f t="shared" si="14"/>
        <v/>
      </c>
      <c r="N85" s="84" t="str">
        <f t="shared" si="15"/>
        <v/>
      </c>
      <c r="O85" s="23" t="str">
        <f t="shared" si="16"/>
        <v/>
      </c>
    </row>
    <row r="86" spans="1:15" ht="20" customHeight="1">
      <c r="A86" s="22" t="str">
        <f t="shared" si="10"/>
        <v/>
      </c>
      <c r="B86" s="23" t="str">
        <f>IF($E86="","",80)</f>
        <v/>
      </c>
      <c r="C86" s="24" t="str">
        <f t="shared" si="17"/>
        <v/>
      </c>
      <c r="D86" s="23" t="str">
        <f t="shared" si="18"/>
        <v/>
      </c>
      <c r="E86" s="25" t="str">
        <f t="shared" si="19"/>
        <v/>
      </c>
      <c r="F86" s="25" t="str">
        <f>IF($E86="","",ROUND(MIN(Comparison!$B$5,MAX(0,$E86+$H86)),2))</f>
        <v/>
      </c>
      <c r="G86" s="25" t="str">
        <f>IF($E86="","",ROUND(MIN(Inputs!$B$10,MAX(0,$E86+$H86-$F86)),2))</f>
        <v/>
      </c>
      <c r="H86" s="25" t="str">
        <f>IF($E86="","",ROUND(IF(Inputs!$B$12="Daily Simple Interest",$E86*Inputs!$B$6/Inputs!$B$17*$D86,$E86*Inputs!$B$6/Inputs!$B$18),2))</f>
        <v/>
      </c>
      <c r="I86" s="25" t="str">
        <f t="shared" si="11"/>
        <v/>
      </c>
      <c r="J86" s="25" t="str">
        <f>IF($E86="","",IF($F86+$G86&gt;0,Inputs!$B$11,0))</f>
        <v/>
      </c>
      <c r="K86" s="25" t="str">
        <f t="shared" si="12"/>
        <v/>
      </c>
      <c r="L86" s="25" t="str">
        <f t="shared" si="13"/>
        <v/>
      </c>
      <c r="M86" s="25" t="str">
        <f t="shared" si="14"/>
        <v/>
      </c>
      <c r="N86" s="84" t="str">
        <f t="shared" si="15"/>
        <v/>
      </c>
      <c r="O86" s="23" t="str">
        <f t="shared" si="16"/>
        <v/>
      </c>
    </row>
    <row r="87" spans="1:15" ht="20" customHeight="1">
      <c r="A87" s="22" t="str">
        <f t="shared" si="10"/>
        <v/>
      </c>
      <c r="B87" s="23" t="str">
        <f>IF($E87="","",81)</f>
        <v/>
      </c>
      <c r="C87" s="24" t="str">
        <f t="shared" si="17"/>
        <v/>
      </c>
      <c r="D87" s="23" t="str">
        <f t="shared" si="18"/>
        <v/>
      </c>
      <c r="E87" s="25" t="str">
        <f t="shared" si="19"/>
        <v/>
      </c>
      <c r="F87" s="25" t="str">
        <f>IF($E87="","",ROUND(MIN(Comparison!$B$5,MAX(0,$E87+$H87)),2))</f>
        <v/>
      </c>
      <c r="G87" s="25" t="str">
        <f>IF($E87="","",ROUND(MIN(Inputs!$B$10,MAX(0,$E87+$H87-$F87)),2))</f>
        <v/>
      </c>
      <c r="H87" s="25" t="str">
        <f>IF($E87="","",ROUND(IF(Inputs!$B$12="Daily Simple Interest",$E87*Inputs!$B$6/Inputs!$B$17*$D87,$E87*Inputs!$B$6/Inputs!$B$18),2))</f>
        <v/>
      </c>
      <c r="I87" s="25" t="str">
        <f t="shared" si="11"/>
        <v/>
      </c>
      <c r="J87" s="25" t="str">
        <f>IF($E87="","",IF($F87+$G87&gt;0,Inputs!$B$11,0))</f>
        <v/>
      </c>
      <c r="K87" s="25" t="str">
        <f t="shared" si="12"/>
        <v/>
      </c>
      <c r="L87" s="25" t="str">
        <f t="shared" si="13"/>
        <v/>
      </c>
      <c r="M87" s="25" t="str">
        <f t="shared" si="14"/>
        <v/>
      </c>
      <c r="N87" s="84" t="str">
        <f t="shared" si="15"/>
        <v/>
      </c>
      <c r="O87" s="23" t="str">
        <f t="shared" si="16"/>
        <v/>
      </c>
    </row>
    <row r="88" spans="1:15" ht="20" customHeight="1">
      <c r="A88" s="22" t="str">
        <f t="shared" si="10"/>
        <v/>
      </c>
      <c r="B88" s="23" t="str">
        <f>IF($E88="","",82)</f>
        <v/>
      </c>
      <c r="C88" s="24" t="str">
        <f t="shared" si="17"/>
        <v/>
      </c>
      <c r="D88" s="23" t="str">
        <f t="shared" si="18"/>
        <v/>
      </c>
      <c r="E88" s="25" t="str">
        <f t="shared" si="19"/>
        <v/>
      </c>
      <c r="F88" s="25" t="str">
        <f>IF($E88="","",ROUND(MIN(Comparison!$B$5,MAX(0,$E88+$H88)),2))</f>
        <v/>
      </c>
      <c r="G88" s="25" t="str">
        <f>IF($E88="","",ROUND(MIN(Inputs!$B$10,MAX(0,$E88+$H88-$F88)),2))</f>
        <v/>
      </c>
      <c r="H88" s="25" t="str">
        <f>IF($E88="","",ROUND(IF(Inputs!$B$12="Daily Simple Interest",$E88*Inputs!$B$6/Inputs!$B$17*$D88,$E88*Inputs!$B$6/Inputs!$B$18),2))</f>
        <v/>
      </c>
      <c r="I88" s="25" t="str">
        <f t="shared" si="11"/>
        <v/>
      </c>
      <c r="J88" s="25" t="str">
        <f>IF($E88="","",IF($F88+$G88&gt;0,Inputs!$B$11,0))</f>
        <v/>
      </c>
      <c r="K88" s="25" t="str">
        <f t="shared" si="12"/>
        <v/>
      </c>
      <c r="L88" s="25" t="str">
        <f t="shared" si="13"/>
        <v/>
      </c>
      <c r="M88" s="25" t="str">
        <f t="shared" si="14"/>
        <v/>
      </c>
      <c r="N88" s="84" t="str">
        <f t="shared" si="15"/>
        <v/>
      </c>
      <c r="O88" s="23" t="str">
        <f t="shared" si="16"/>
        <v/>
      </c>
    </row>
    <row r="89" spans="1:15" ht="20" customHeight="1">
      <c r="A89" s="22" t="str">
        <f t="shared" si="10"/>
        <v/>
      </c>
      <c r="B89" s="23" t="str">
        <f>IF($E89="","",83)</f>
        <v/>
      </c>
      <c r="C89" s="24" t="str">
        <f t="shared" si="17"/>
        <v/>
      </c>
      <c r="D89" s="23" t="str">
        <f t="shared" si="18"/>
        <v/>
      </c>
      <c r="E89" s="25" t="str">
        <f t="shared" si="19"/>
        <v/>
      </c>
      <c r="F89" s="25" t="str">
        <f>IF($E89="","",ROUND(MIN(Comparison!$B$5,MAX(0,$E89+$H89)),2))</f>
        <v/>
      </c>
      <c r="G89" s="25" t="str">
        <f>IF($E89="","",ROUND(MIN(Inputs!$B$10,MAX(0,$E89+$H89-$F89)),2))</f>
        <v/>
      </c>
      <c r="H89" s="25" t="str">
        <f>IF($E89="","",ROUND(IF(Inputs!$B$12="Daily Simple Interest",$E89*Inputs!$B$6/Inputs!$B$17*$D89,$E89*Inputs!$B$6/Inputs!$B$18),2))</f>
        <v/>
      </c>
      <c r="I89" s="25" t="str">
        <f t="shared" si="11"/>
        <v/>
      </c>
      <c r="J89" s="25" t="str">
        <f>IF($E89="","",IF($F89+$G89&gt;0,Inputs!$B$11,0))</f>
        <v/>
      </c>
      <c r="K89" s="25" t="str">
        <f t="shared" si="12"/>
        <v/>
      </c>
      <c r="L89" s="25" t="str">
        <f t="shared" si="13"/>
        <v/>
      </c>
      <c r="M89" s="25" t="str">
        <f t="shared" si="14"/>
        <v/>
      </c>
      <c r="N89" s="84" t="str">
        <f t="shared" si="15"/>
        <v/>
      </c>
      <c r="O89" s="23" t="str">
        <f t="shared" si="16"/>
        <v/>
      </c>
    </row>
    <row r="90" spans="1:15" ht="20" customHeight="1">
      <c r="A90" s="22" t="str">
        <f t="shared" si="10"/>
        <v/>
      </c>
      <c r="B90" s="23" t="str">
        <f>IF($E90="","",84)</f>
        <v/>
      </c>
      <c r="C90" s="24" t="str">
        <f t="shared" si="17"/>
        <v/>
      </c>
      <c r="D90" s="23" t="str">
        <f t="shared" si="18"/>
        <v/>
      </c>
      <c r="E90" s="25" t="str">
        <f t="shared" si="19"/>
        <v/>
      </c>
      <c r="F90" s="25" t="str">
        <f>IF($E90="","",ROUND(MIN(Comparison!$B$5,MAX(0,$E90+$H90)),2))</f>
        <v/>
      </c>
      <c r="G90" s="25" t="str">
        <f>IF($E90="","",ROUND(MIN(Inputs!$B$10,MAX(0,$E90+$H90-$F90)),2))</f>
        <v/>
      </c>
      <c r="H90" s="25" t="str">
        <f>IF($E90="","",ROUND(IF(Inputs!$B$12="Daily Simple Interest",$E90*Inputs!$B$6/Inputs!$B$17*$D90,$E90*Inputs!$B$6/Inputs!$B$18),2))</f>
        <v/>
      </c>
      <c r="I90" s="25" t="str">
        <f t="shared" si="11"/>
        <v/>
      </c>
      <c r="J90" s="25" t="str">
        <f>IF($E90="","",IF($F90+$G90&gt;0,Inputs!$B$11,0))</f>
        <v/>
      </c>
      <c r="K90" s="25" t="str">
        <f t="shared" si="12"/>
        <v/>
      </c>
      <c r="L90" s="25" t="str">
        <f t="shared" si="13"/>
        <v/>
      </c>
      <c r="M90" s="25" t="str">
        <f t="shared" si="14"/>
        <v/>
      </c>
      <c r="N90" s="84" t="str">
        <f t="shared" si="15"/>
        <v/>
      </c>
      <c r="O90" s="23" t="str">
        <f t="shared" si="16"/>
        <v/>
      </c>
    </row>
    <row r="91" spans="1:15" ht="20" customHeight="1">
      <c r="A91" s="22" t="str">
        <f t="shared" si="10"/>
        <v/>
      </c>
      <c r="B91" s="23" t="str">
        <f>IF($E91="","",85)</f>
        <v/>
      </c>
      <c r="C91" s="24" t="str">
        <f t="shared" si="17"/>
        <v/>
      </c>
      <c r="D91" s="23" t="str">
        <f t="shared" si="18"/>
        <v/>
      </c>
      <c r="E91" s="25" t="str">
        <f t="shared" si="19"/>
        <v/>
      </c>
      <c r="F91" s="25" t="str">
        <f>IF($E91="","",ROUND(MIN(Comparison!$B$5,MAX(0,$E91+$H91)),2))</f>
        <v/>
      </c>
      <c r="G91" s="25" t="str">
        <f>IF($E91="","",ROUND(MIN(Inputs!$B$10,MAX(0,$E91+$H91-$F91)),2))</f>
        <v/>
      </c>
      <c r="H91" s="25" t="str">
        <f>IF($E91="","",ROUND(IF(Inputs!$B$12="Daily Simple Interest",$E91*Inputs!$B$6/Inputs!$B$17*$D91,$E91*Inputs!$B$6/Inputs!$B$18),2))</f>
        <v/>
      </c>
      <c r="I91" s="25" t="str">
        <f t="shared" si="11"/>
        <v/>
      </c>
      <c r="J91" s="25" t="str">
        <f>IF($E91="","",IF($F91+$G91&gt;0,Inputs!$B$11,0))</f>
        <v/>
      </c>
      <c r="K91" s="25" t="str">
        <f t="shared" si="12"/>
        <v/>
      </c>
      <c r="L91" s="25" t="str">
        <f t="shared" si="13"/>
        <v/>
      </c>
      <c r="M91" s="25" t="str">
        <f t="shared" si="14"/>
        <v/>
      </c>
      <c r="N91" s="84" t="str">
        <f t="shared" si="15"/>
        <v/>
      </c>
      <c r="O91" s="23" t="str">
        <f t="shared" si="16"/>
        <v/>
      </c>
    </row>
    <row r="92" spans="1:15" ht="20" customHeight="1">
      <c r="A92" s="22" t="str">
        <f t="shared" si="10"/>
        <v/>
      </c>
      <c r="B92" s="23" t="str">
        <f>IF($E92="","",86)</f>
        <v/>
      </c>
      <c r="C92" s="24" t="str">
        <f t="shared" si="17"/>
        <v/>
      </c>
      <c r="D92" s="23" t="str">
        <f t="shared" si="18"/>
        <v/>
      </c>
      <c r="E92" s="25" t="str">
        <f t="shared" si="19"/>
        <v/>
      </c>
      <c r="F92" s="25" t="str">
        <f>IF($E92="","",ROUND(MIN(Comparison!$B$5,MAX(0,$E92+$H92)),2))</f>
        <v/>
      </c>
      <c r="G92" s="25" t="str">
        <f>IF($E92="","",ROUND(MIN(Inputs!$B$10,MAX(0,$E92+$H92-$F92)),2))</f>
        <v/>
      </c>
      <c r="H92" s="25" t="str">
        <f>IF($E92="","",ROUND(IF(Inputs!$B$12="Daily Simple Interest",$E92*Inputs!$B$6/Inputs!$B$17*$D92,$E92*Inputs!$B$6/Inputs!$B$18),2))</f>
        <v/>
      </c>
      <c r="I92" s="25" t="str">
        <f t="shared" si="11"/>
        <v/>
      </c>
      <c r="J92" s="25" t="str">
        <f>IF($E92="","",IF($F92+$G92&gt;0,Inputs!$B$11,0))</f>
        <v/>
      </c>
      <c r="K92" s="25" t="str">
        <f t="shared" si="12"/>
        <v/>
      </c>
      <c r="L92" s="25" t="str">
        <f t="shared" si="13"/>
        <v/>
      </c>
      <c r="M92" s="25" t="str">
        <f t="shared" si="14"/>
        <v/>
      </c>
      <c r="N92" s="84" t="str">
        <f t="shared" si="15"/>
        <v/>
      </c>
      <c r="O92" s="23" t="str">
        <f t="shared" si="16"/>
        <v/>
      </c>
    </row>
    <row r="93" spans="1:15" ht="20" customHeight="1">
      <c r="A93" s="22" t="str">
        <f t="shared" si="10"/>
        <v/>
      </c>
      <c r="B93" s="23" t="str">
        <f>IF($E93="","",87)</f>
        <v/>
      </c>
      <c r="C93" s="24" t="str">
        <f t="shared" si="17"/>
        <v/>
      </c>
      <c r="D93" s="23" t="str">
        <f t="shared" si="18"/>
        <v/>
      </c>
      <c r="E93" s="25" t="str">
        <f t="shared" si="19"/>
        <v/>
      </c>
      <c r="F93" s="25" t="str">
        <f>IF($E93="","",ROUND(MIN(Comparison!$B$5,MAX(0,$E93+$H93)),2))</f>
        <v/>
      </c>
      <c r="G93" s="25" t="str">
        <f>IF($E93="","",ROUND(MIN(Inputs!$B$10,MAX(0,$E93+$H93-$F93)),2))</f>
        <v/>
      </c>
      <c r="H93" s="25" t="str">
        <f>IF($E93="","",ROUND(IF(Inputs!$B$12="Daily Simple Interest",$E93*Inputs!$B$6/Inputs!$B$17*$D93,$E93*Inputs!$B$6/Inputs!$B$18),2))</f>
        <v/>
      </c>
      <c r="I93" s="25" t="str">
        <f t="shared" si="11"/>
        <v/>
      </c>
      <c r="J93" s="25" t="str">
        <f>IF($E93="","",IF($F93+$G93&gt;0,Inputs!$B$11,0))</f>
        <v/>
      </c>
      <c r="K93" s="25" t="str">
        <f t="shared" si="12"/>
        <v/>
      </c>
      <c r="L93" s="25" t="str">
        <f t="shared" si="13"/>
        <v/>
      </c>
      <c r="M93" s="25" t="str">
        <f t="shared" si="14"/>
        <v/>
      </c>
      <c r="N93" s="84" t="str">
        <f t="shared" si="15"/>
        <v/>
      </c>
      <c r="O93" s="23" t="str">
        <f t="shared" si="16"/>
        <v/>
      </c>
    </row>
    <row r="94" spans="1:15" ht="20" customHeight="1">
      <c r="A94" s="22" t="str">
        <f t="shared" si="10"/>
        <v/>
      </c>
      <c r="B94" s="23" t="str">
        <f>IF($E94="","",88)</f>
        <v/>
      </c>
      <c r="C94" s="24" t="str">
        <f t="shared" si="17"/>
        <v/>
      </c>
      <c r="D94" s="23" t="str">
        <f t="shared" si="18"/>
        <v/>
      </c>
      <c r="E94" s="25" t="str">
        <f t="shared" si="19"/>
        <v/>
      </c>
      <c r="F94" s="25" t="str">
        <f>IF($E94="","",ROUND(MIN(Comparison!$B$5,MAX(0,$E94+$H94)),2))</f>
        <v/>
      </c>
      <c r="G94" s="25" t="str">
        <f>IF($E94="","",ROUND(MIN(Inputs!$B$10,MAX(0,$E94+$H94-$F94)),2))</f>
        <v/>
      </c>
      <c r="H94" s="25" t="str">
        <f>IF($E94="","",ROUND(IF(Inputs!$B$12="Daily Simple Interest",$E94*Inputs!$B$6/Inputs!$B$17*$D94,$E94*Inputs!$B$6/Inputs!$B$18),2))</f>
        <v/>
      </c>
      <c r="I94" s="25" t="str">
        <f t="shared" si="11"/>
        <v/>
      </c>
      <c r="J94" s="25" t="str">
        <f>IF($E94="","",IF($F94+$G94&gt;0,Inputs!$B$11,0))</f>
        <v/>
      </c>
      <c r="K94" s="25" t="str">
        <f t="shared" si="12"/>
        <v/>
      </c>
      <c r="L94" s="25" t="str">
        <f t="shared" si="13"/>
        <v/>
      </c>
      <c r="M94" s="25" t="str">
        <f t="shared" si="14"/>
        <v/>
      </c>
      <c r="N94" s="84" t="str">
        <f t="shared" si="15"/>
        <v/>
      </c>
      <c r="O94" s="23" t="str">
        <f t="shared" si="16"/>
        <v/>
      </c>
    </row>
    <row r="95" spans="1:15" ht="20" customHeight="1">
      <c r="A95" s="22" t="str">
        <f t="shared" si="10"/>
        <v/>
      </c>
      <c r="B95" s="23" t="str">
        <f>IF($E95="","",89)</f>
        <v/>
      </c>
      <c r="C95" s="24" t="str">
        <f t="shared" si="17"/>
        <v/>
      </c>
      <c r="D95" s="23" t="str">
        <f t="shared" si="18"/>
        <v/>
      </c>
      <c r="E95" s="25" t="str">
        <f t="shared" si="19"/>
        <v/>
      </c>
      <c r="F95" s="25" t="str">
        <f>IF($E95="","",ROUND(MIN(Comparison!$B$5,MAX(0,$E95+$H95)),2))</f>
        <v/>
      </c>
      <c r="G95" s="25" t="str">
        <f>IF($E95="","",ROUND(MIN(Inputs!$B$10,MAX(0,$E95+$H95-$F95)),2))</f>
        <v/>
      </c>
      <c r="H95" s="25" t="str">
        <f>IF($E95="","",ROUND(IF(Inputs!$B$12="Daily Simple Interest",$E95*Inputs!$B$6/Inputs!$B$17*$D95,$E95*Inputs!$B$6/Inputs!$B$18),2))</f>
        <v/>
      </c>
      <c r="I95" s="25" t="str">
        <f t="shared" si="11"/>
        <v/>
      </c>
      <c r="J95" s="25" t="str">
        <f>IF($E95="","",IF($F95+$G95&gt;0,Inputs!$B$11,0))</f>
        <v/>
      </c>
      <c r="K95" s="25" t="str">
        <f t="shared" si="12"/>
        <v/>
      </c>
      <c r="L95" s="25" t="str">
        <f t="shared" si="13"/>
        <v/>
      </c>
      <c r="M95" s="25" t="str">
        <f t="shared" si="14"/>
        <v/>
      </c>
      <c r="N95" s="84" t="str">
        <f t="shared" si="15"/>
        <v/>
      </c>
      <c r="O95" s="23" t="str">
        <f t="shared" si="16"/>
        <v/>
      </c>
    </row>
    <row r="96" spans="1:15" ht="20" customHeight="1">
      <c r="A96" s="22" t="str">
        <f t="shared" si="10"/>
        <v/>
      </c>
      <c r="B96" s="23" t="str">
        <f>IF($E96="","",90)</f>
        <v/>
      </c>
      <c r="C96" s="24" t="str">
        <f t="shared" si="17"/>
        <v/>
      </c>
      <c r="D96" s="23" t="str">
        <f t="shared" si="18"/>
        <v/>
      </c>
      <c r="E96" s="25" t="str">
        <f t="shared" si="19"/>
        <v/>
      </c>
      <c r="F96" s="25" t="str">
        <f>IF($E96="","",ROUND(MIN(Comparison!$B$5,MAX(0,$E96+$H96)),2))</f>
        <v/>
      </c>
      <c r="G96" s="25" t="str">
        <f>IF($E96="","",ROUND(MIN(Inputs!$B$10,MAX(0,$E96+$H96-$F96)),2))</f>
        <v/>
      </c>
      <c r="H96" s="25" t="str">
        <f>IF($E96="","",ROUND(IF(Inputs!$B$12="Daily Simple Interest",$E96*Inputs!$B$6/Inputs!$B$17*$D96,$E96*Inputs!$B$6/Inputs!$B$18),2))</f>
        <v/>
      </c>
      <c r="I96" s="25" t="str">
        <f t="shared" si="11"/>
        <v/>
      </c>
      <c r="J96" s="25" t="str">
        <f>IF($E96="","",IF($F96+$G96&gt;0,Inputs!$B$11,0))</f>
        <v/>
      </c>
      <c r="K96" s="25" t="str">
        <f t="shared" si="12"/>
        <v/>
      </c>
      <c r="L96" s="25" t="str">
        <f t="shared" si="13"/>
        <v/>
      </c>
      <c r="M96" s="25" t="str">
        <f t="shared" si="14"/>
        <v/>
      </c>
      <c r="N96" s="84" t="str">
        <f t="shared" si="15"/>
        <v/>
      </c>
      <c r="O96" s="23" t="str">
        <f t="shared" si="16"/>
        <v/>
      </c>
    </row>
    <row r="97" spans="1:15" ht="20" customHeight="1">
      <c r="A97" s="22" t="str">
        <f t="shared" si="10"/>
        <v/>
      </c>
      <c r="B97" s="23" t="str">
        <f>IF($E97="","",91)</f>
        <v/>
      </c>
      <c r="C97" s="24" t="str">
        <f t="shared" si="17"/>
        <v/>
      </c>
      <c r="D97" s="23" t="str">
        <f t="shared" si="18"/>
        <v/>
      </c>
      <c r="E97" s="25" t="str">
        <f t="shared" si="19"/>
        <v/>
      </c>
      <c r="F97" s="25" t="str">
        <f>IF($E97="","",ROUND(MIN(Comparison!$B$5,MAX(0,$E97+$H97)),2))</f>
        <v/>
      </c>
      <c r="G97" s="25" t="str">
        <f>IF($E97="","",ROUND(MIN(Inputs!$B$10,MAX(0,$E97+$H97-$F97)),2))</f>
        <v/>
      </c>
      <c r="H97" s="25" t="str">
        <f>IF($E97="","",ROUND(IF(Inputs!$B$12="Daily Simple Interest",$E97*Inputs!$B$6/Inputs!$B$17*$D97,$E97*Inputs!$B$6/Inputs!$B$18),2))</f>
        <v/>
      </c>
      <c r="I97" s="25" t="str">
        <f t="shared" si="11"/>
        <v/>
      </c>
      <c r="J97" s="25" t="str">
        <f>IF($E97="","",IF($F97+$G97&gt;0,Inputs!$B$11,0))</f>
        <v/>
      </c>
      <c r="K97" s="25" t="str">
        <f t="shared" si="12"/>
        <v/>
      </c>
      <c r="L97" s="25" t="str">
        <f t="shared" si="13"/>
        <v/>
      </c>
      <c r="M97" s="25" t="str">
        <f t="shared" si="14"/>
        <v/>
      </c>
      <c r="N97" s="84" t="str">
        <f t="shared" si="15"/>
        <v/>
      </c>
      <c r="O97" s="23" t="str">
        <f t="shared" si="16"/>
        <v/>
      </c>
    </row>
    <row r="98" spans="1:15" ht="20" customHeight="1">
      <c r="A98" s="22" t="str">
        <f t="shared" si="10"/>
        <v/>
      </c>
      <c r="B98" s="23" t="str">
        <f>IF($E98="","",92)</f>
        <v/>
      </c>
      <c r="C98" s="24" t="str">
        <f t="shared" si="17"/>
        <v/>
      </c>
      <c r="D98" s="23" t="str">
        <f t="shared" si="18"/>
        <v/>
      </c>
      <c r="E98" s="25" t="str">
        <f t="shared" si="19"/>
        <v/>
      </c>
      <c r="F98" s="25" t="str">
        <f>IF($E98="","",ROUND(MIN(Comparison!$B$5,MAX(0,$E98+$H98)),2))</f>
        <v/>
      </c>
      <c r="G98" s="25" t="str">
        <f>IF($E98="","",ROUND(MIN(Inputs!$B$10,MAX(0,$E98+$H98-$F98)),2))</f>
        <v/>
      </c>
      <c r="H98" s="25" t="str">
        <f>IF($E98="","",ROUND(IF(Inputs!$B$12="Daily Simple Interest",$E98*Inputs!$B$6/Inputs!$B$17*$D98,$E98*Inputs!$B$6/Inputs!$B$18),2))</f>
        <v/>
      </c>
      <c r="I98" s="25" t="str">
        <f t="shared" si="11"/>
        <v/>
      </c>
      <c r="J98" s="25" t="str">
        <f>IF($E98="","",IF($F98+$G98&gt;0,Inputs!$B$11,0))</f>
        <v/>
      </c>
      <c r="K98" s="25" t="str">
        <f t="shared" si="12"/>
        <v/>
      </c>
      <c r="L98" s="25" t="str">
        <f t="shared" si="13"/>
        <v/>
      </c>
      <c r="M98" s="25" t="str">
        <f t="shared" si="14"/>
        <v/>
      </c>
      <c r="N98" s="84" t="str">
        <f t="shared" si="15"/>
        <v/>
      </c>
      <c r="O98" s="23" t="str">
        <f t="shared" si="16"/>
        <v/>
      </c>
    </row>
    <row r="99" spans="1:15" ht="20" customHeight="1">
      <c r="A99" s="22" t="str">
        <f t="shared" si="10"/>
        <v/>
      </c>
      <c r="B99" s="23" t="str">
        <f>IF($E99="","",93)</f>
        <v/>
      </c>
      <c r="C99" s="24" t="str">
        <f t="shared" si="17"/>
        <v/>
      </c>
      <c r="D99" s="23" t="str">
        <f t="shared" si="18"/>
        <v/>
      </c>
      <c r="E99" s="25" t="str">
        <f t="shared" si="19"/>
        <v/>
      </c>
      <c r="F99" s="25" t="str">
        <f>IF($E99="","",ROUND(MIN(Comparison!$B$5,MAX(0,$E99+$H99)),2))</f>
        <v/>
      </c>
      <c r="G99" s="25" t="str">
        <f>IF($E99="","",ROUND(MIN(Inputs!$B$10,MAX(0,$E99+$H99-$F99)),2))</f>
        <v/>
      </c>
      <c r="H99" s="25" t="str">
        <f>IF($E99="","",ROUND(IF(Inputs!$B$12="Daily Simple Interest",$E99*Inputs!$B$6/Inputs!$B$17*$D99,$E99*Inputs!$B$6/Inputs!$B$18),2))</f>
        <v/>
      </c>
      <c r="I99" s="25" t="str">
        <f t="shared" si="11"/>
        <v/>
      </c>
      <c r="J99" s="25" t="str">
        <f>IF($E99="","",IF($F99+$G99&gt;0,Inputs!$B$11,0))</f>
        <v/>
      </c>
      <c r="K99" s="25" t="str">
        <f t="shared" si="12"/>
        <v/>
      </c>
      <c r="L99" s="25" t="str">
        <f t="shared" si="13"/>
        <v/>
      </c>
      <c r="M99" s="25" t="str">
        <f t="shared" si="14"/>
        <v/>
      </c>
      <c r="N99" s="84" t="str">
        <f t="shared" si="15"/>
        <v/>
      </c>
      <c r="O99" s="23" t="str">
        <f t="shared" si="16"/>
        <v/>
      </c>
    </row>
    <row r="100" spans="1:15" ht="20" customHeight="1">
      <c r="A100" s="22" t="str">
        <f t="shared" si="10"/>
        <v/>
      </c>
      <c r="B100" s="23" t="str">
        <f>IF($E100="","",94)</f>
        <v/>
      </c>
      <c r="C100" s="24" t="str">
        <f t="shared" si="17"/>
        <v/>
      </c>
      <c r="D100" s="23" t="str">
        <f t="shared" si="18"/>
        <v/>
      </c>
      <c r="E100" s="25" t="str">
        <f t="shared" si="19"/>
        <v/>
      </c>
      <c r="F100" s="25" t="str">
        <f>IF($E100="","",ROUND(MIN(Comparison!$B$5,MAX(0,$E100+$H100)),2))</f>
        <v/>
      </c>
      <c r="G100" s="25" t="str">
        <f>IF($E100="","",ROUND(MIN(Inputs!$B$10,MAX(0,$E100+$H100-$F100)),2))</f>
        <v/>
      </c>
      <c r="H100" s="25" t="str">
        <f>IF($E100="","",ROUND(IF(Inputs!$B$12="Daily Simple Interest",$E100*Inputs!$B$6/Inputs!$B$17*$D100,$E100*Inputs!$B$6/Inputs!$B$18),2))</f>
        <v/>
      </c>
      <c r="I100" s="25" t="str">
        <f t="shared" si="11"/>
        <v/>
      </c>
      <c r="J100" s="25" t="str">
        <f>IF($E100="","",IF($F100+$G100&gt;0,Inputs!$B$11,0))</f>
        <v/>
      </c>
      <c r="K100" s="25" t="str">
        <f t="shared" si="12"/>
        <v/>
      </c>
      <c r="L100" s="25" t="str">
        <f t="shared" si="13"/>
        <v/>
      </c>
      <c r="M100" s="25" t="str">
        <f t="shared" si="14"/>
        <v/>
      </c>
      <c r="N100" s="84" t="str">
        <f t="shared" si="15"/>
        <v/>
      </c>
      <c r="O100" s="23" t="str">
        <f t="shared" si="16"/>
        <v/>
      </c>
    </row>
    <row r="101" spans="1:15" ht="20" customHeight="1">
      <c r="A101" s="22" t="str">
        <f t="shared" si="10"/>
        <v/>
      </c>
      <c r="B101" s="23" t="str">
        <f>IF($E101="","",95)</f>
        <v/>
      </c>
      <c r="C101" s="24" t="str">
        <f t="shared" si="17"/>
        <v/>
      </c>
      <c r="D101" s="23" t="str">
        <f t="shared" si="18"/>
        <v/>
      </c>
      <c r="E101" s="25" t="str">
        <f t="shared" si="19"/>
        <v/>
      </c>
      <c r="F101" s="25" t="str">
        <f>IF($E101="","",ROUND(MIN(Comparison!$B$5,MAX(0,$E101+$H101)),2))</f>
        <v/>
      </c>
      <c r="G101" s="25" t="str">
        <f>IF($E101="","",ROUND(MIN(Inputs!$B$10,MAX(0,$E101+$H101-$F101)),2))</f>
        <v/>
      </c>
      <c r="H101" s="25" t="str">
        <f>IF($E101="","",ROUND(IF(Inputs!$B$12="Daily Simple Interest",$E101*Inputs!$B$6/Inputs!$B$17*$D101,$E101*Inputs!$B$6/Inputs!$B$18),2))</f>
        <v/>
      </c>
      <c r="I101" s="25" t="str">
        <f t="shared" si="11"/>
        <v/>
      </c>
      <c r="J101" s="25" t="str">
        <f>IF($E101="","",IF($F101+$G101&gt;0,Inputs!$B$11,0))</f>
        <v/>
      </c>
      <c r="K101" s="25" t="str">
        <f t="shared" si="12"/>
        <v/>
      </c>
      <c r="L101" s="25" t="str">
        <f t="shared" si="13"/>
        <v/>
      </c>
      <c r="M101" s="25" t="str">
        <f t="shared" si="14"/>
        <v/>
      </c>
      <c r="N101" s="84" t="str">
        <f t="shared" si="15"/>
        <v/>
      </c>
      <c r="O101" s="23" t="str">
        <f t="shared" si="16"/>
        <v/>
      </c>
    </row>
    <row r="102" spans="1:15" ht="20" customHeight="1">
      <c r="A102" s="22" t="str">
        <f t="shared" si="10"/>
        <v/>
      </c>
      <c r="B102" s="23" t="str">
        <f>IF($E102="","",96)</f>
        <v/>
      </c>
      <c r="C102" s="24" t="str">
        <f t="shared" si="17"/>
        <v/>
      </c>
      <c r="D102" s="23" t="str">
        <f t="shared" si="18"/>
        <v/>
      </c>
      <c r="E102" s="25" t="str">
        <f t="shared" si="19"/>
        <v/>
      </c>
      <c r="F102" s="25" t="str">
        <f>IF($E102="","",ROUND(MIN(Comparison!$B$5,MAX(0,$E102+$H102)),2))</f>
        <v/>
      </c>
      <c r="G102" s="25" t="str">
        <f>IF($E102="","",ROUND(MIN(Inputs!$B$10,MAX(0,$E102+$H102-$F102)),2))</f>
        <v/>
      </c>
      <c r="H102" s="25" t="str">
        <f>IF($E102="","",ROUND(IF(Inputs!$B$12="Daily Simple Interest",$E102*Inputs!$B$6/Inputs!$B$17*$D102,$E102*Inputs!$B$6/Inputs!$B$18),2))</f>
        <v/>
      </c>
      <c r="I102" s="25" t="str">
        <f t="shared" si="11"/>
        <v/>
      </c>
      <c r="J102" s="25" t="str">
        <f>IF($E102="","",IF($F102+$G102&gt;0,Inputs!$B$11,0))</f>
        <v/>
      </c>
      <c r="K102" s="25" t="str">
        <f t="shared" si="12"/>
        <v/>
      </c>
      <c r="L102" s="25" t="str">
        <f t="shared" si="13"/>
        <v/>
      </c>
      <c r="M102" s="25" t="str">
        <f t="shared" si="14"/>
        <v/>
      </c>
      <c r="N102" s="84" t="str">
        <f t="shared" si="15"/>
        <v/>
      </c>
      <c r="O102" s="23" t="str">
        <f t="shared" si="16"/>
        <v/>
      </c>
    </row>
    <row r="103" spans="1:15" ht="20" customHeight="1">
      <c r="A103" s="22" t="str">
        <f t="shared" si="10"/>
        <v/>
      </c>
      <c r="B103" s="23" t="str">
        <f>IF($E103="","",97)</f>
        <v/>
      </c>
      <c r="C103" s="24" t="str">
        <f t="shared" si="17"/>
        <v/>
      </c>
      <c r="D103" s="23" t="str">
        <f t="shared" si="18"/>
        <v/>
      </c>
      <c r="E103" s="25" t="str">
        <f t="shared" si="19"/>
        <v/>
      </c>
      <c r="F103" s="25" t="str">
        <f>IF($E103="","",ROUND(MIN(Comparison!$B$5,MAX(0,$E103+$H103)),2))</f>
        <v/>
      </c>
      <c r="G103" s="25" t="str">
        <f>IF($E103="","",ROUND(MIN(Inputs!$B$10,MAX(0,$E103+$H103-$F103)),2))</f>
        <v/>
      </c>
      <c r="H103" s="25" t="str">
        <f>IF($E103="","",ROUND(IF(Inputs!$B$12="Daily Simple Interest",$E103*Inputs!$B$6/Inputs!$B$17*$D103,$E103*Inputs!$B$6/Inputs!$B$18),2))</f>
        <v/>
      </c>
      <c r="I103" s="25" t="str">
        <f t="shared" si="11"/>
        <v/>
      </c>
      <c r="J103" s="25" t="str">
        <f>IF($E103="","",IF($F103+$G103&gt;0,Inputs!$B$11,0))</f>
        <v/>
      </c>
      <c r="K103" s="25" t="str">
        <f t="shared" si="12"/>
        <v/>
      </c>
      <c r="L103" s="25" t="str">
        <f t="shared" si="13"/>
        <v/>
      </c>
      <c r="M103" s="25" t="str">
        <f t="shared" si="14"/>
        <v/>
      </c>
      <c r="N103" s="84" t="str">
        <f t="shared" si="15"/>
        <v/>
      </c>
      <c r="O103" s="23" t="str">
        <f t="shared" si="16"/>
        <v/>
      </c>
    </row>
    <row r="104" spans="1:15" ht="20" customHeight="1">
      <c r="A104" s="22" t="str">
        <f t="shared" si="10"/>
        <v/>
      </c>
      <c r="B104" s="23" t="str">
        <f>IF($E104="","",98)</f>
        <v/>
      </c>
      <c r="C104" s="24" t="str">
        <f t="shared" si="17"/>
        <v/>
      </c>
      <c r="D104" s="23" t="str">
        <f t="shared" si="18"/>
        <v/>
      </c>
      <c r="E104" s="25" t="str">
        <f t="shared" si="19"/>
        <v/>
      </c>
      <c r="F104" s="25" t="str">
        <f>IF($E104="","",ROUND(MIN(Comparison!$B$5,MAX(0,$E104+$H104)),2))</f>
        <v/>
      </c>
      <c r="G104" s="25" t="str">
        <f>IF($E104="","",ROUND(MIN(Inputs!$B$10,MAX(0,$E104+$H104-$F104)),2))</f>
        <v/>
      </c>
      <c r="H104" s="25" t="str">
        <f>IF($E104="","",ROUND(IF(Inputs!$B$12="Daily Simple Interest",$E104*Inputs!$B$6/Inputs!$B$17*$D104,$E104*Inputs!$B$6/Inputs!$B$18),2))</f>
        <v/>
      </c>
      <c r="I104" s="25" t="str">
        <f t="shared" si="11"/>
        <v/>
      </c>
      <c r="J104" s="25" t="str">
        <f>IF($E104="","",IF($F104+$G104&gt;0,Inputs!$B$11,0))</f>
        <v/>
      </c>
      <c r="K104" s="25" t="str">
        <f t="shared" si="12"/>
        <v/>
      </c>
      <c r="L104" s="25" t="str">
        <f t="shared" si="13"/>
        <v/>
      </c>
      <c r="M104" s="25" t="str">
        <f t="shared" si="14"/>
        <v/>
      </c>
      <c r="N104" s="84" t="str">
        <f t="shared" si="15"/>
        <v/>
      </c>
      <c r="O104" s="23" t="str">
        <f t="shared" si="16"/>
        <v/>
      </c>
    </row>
    <row r="105" spans="1:15" ht="20" customHeight="1">
      <c r="A105" s="22" t="str">
        <f t="shared" si="10"/>
        <v/>
      </c>
      <c r="B105" s="23" t="str">
        <f>IF($E105="","",99)</f>
        <v/>
      </c>
      <c r="C105" s="24" t="str">
        <f t="shared" si="17"/>
        <v/>
      </c>
      <c r="D105" s="23" t="str">
        <f t="shared" si="18"/>
        <v/>
      </c>
      <c r="E105" s="25" t="str">
        <f t="shared" si="19"/>
        <v/>
      </c>
      <c r="F105" s="25" t="str">
        <f>IF($E105="","",ROUND(MIN(Comparison!$B$5,MAX(0,$E105+$H105)),2))</f>
        <v/>
      </c>
      <c r="G105" s="25" t="str">
        <f>IF($E105="","",ROUND(MIN(Inputs!$B$10,MAX(0,$E105+$H105-$F105)),2))</f>
        <v/>
      </c>
      <c r="H105" s="25" t="str">
        <f>IF($E105="","",ROUND(IF(Inputs!$B$12="Daily Simple Interest",$E105*Inputs!$B$6/Inputs!$B$17*$D105,$E105*Inputs!$B$6/Inputs!$B$18),2))</f>
        <v/>
      </c>
      <c r="I105" s="25" t="str">
        <f t="shared" si="11"/>
        <v/>
      </c>
      <c r="J105" s="25" t="str">
        <f>IF($E105="","",IF($F105+$G105&gt;0,Inputs!$B$11,0))</f>
        <v/>
      </c>
      <c r="K105" s="25" t="str">
        <f t="shared" si="12"/>
        <v/>
      </c>
      <c r="L105" s="25" t="str">
        <f t="shared" si="13"/>
        <v/>
      </c>
      <c r="M105" s="25" t="str">
        <f t="shared" si="14"/>
        <v/>
      </c>
      <c r="N105" s="84" t="str">
        <f t="shared" si="15"/>
        <v/>
      </c>
      <c r="O105" s="23" t="str">
        <f t="shared" si="16"/>
        <v/>
      </c>
    </row>
    <row r="106" spans="1:15" ht="20" customHeight="1">
      <c r="A106" s="22" t="str">
        <f t="shared" si="10"/>
        <v/>
      </c>
      <c r="B106" s="23" t="str">
        <f>IF($E106="","",100)</f>
        <v/>
      </c>
      <c r="C106" s="24" t="str">
        <f t="shared" si="17"/>
        <v/>
      </c>
      <c r="D106" s="23" t="str">
        <f t="shared" si="18"/>
        <v/>
      </c>
      <c r="E106" s="25" t="str">
        <f t="shared" si="19"/>
        <v/>
      </c>
      <c r="F106" s="25" t="str">
        <f>IF($E106="","",ROUND(MIN(Comparison!$B$5,MAX(0,$E106+$H106)),2))</f>
        <v/>
      </c>
      <c r="G106" s="25" t="str">
        <f>IF($E106="","",ROUND(MIN(Inputs!$B$10,MAX(0,$E106+$H106-$F106)),2))</f>
        <v/>
      </c>
      <c r="H106" s="25" t="str">
        <f>IF($E106="","",ROUND(IF(Inputs!$B$12="Daily Simple Interest",$E106*Inputs!$B$6/Inputs!$B$17*$D106,$E106*Inputs!$B$6/Inputs!$B$18),2))</f>
        <v/>
      </c>
      <c r="I106" s="25" t="str">
        <f t="shared" si="11"/>
        <v/>
      </c>
      <c r="J106" s="25" t="str">
        <f>IF($E106="","",IF($F106+$G106&gt;0,Inputs!$B$11,0))</f>
        <v/>
      </c>
      <c r="K106" s="25" t="str">
        <f t="shared" si="12"/>
        <v/>
      </c>
      <c r="L106" s="25" t="str">
        <f t="shared" si="13"/>
        <v/>
      </c>
      <c r="M106" s="25" t="str">
        <f t="shared" si="14"/>
        <v/>
      </c>
      <c r="N106" s="84" t="str">
        <f t="shared" si="15"/>
        <v/>
      </c>
      <c r="O106" s="23" t="str">
        <f t="shared" si="16"/>
        <v/>
      </c>
    </row>
    <row r="107" spans="1:15" ht="20" customHeight="1">
      <c r="A107" s="22" t="str">
        <f t="shared" si="10"/>
        <v/>
      </c>
      <c r="B107" s="23" t="str">
        <f>IF($E107="","",101)</f>
        <v/>
      </c>
      <c r="C107" s="24" t="str">
        <f t="shared" si="17"/>
        <v/>
      </c>
      <c r="D107" s="23" t="str">
        <f t="shared" si="18"/>
        <v/>
      </c>
      <c r="E107" s="25" t="str">
        <f t="shared" si="19"/>
        <v/>
      </c>
      <c r="F107" s="25" t="str">
        <f>IF($E107="","",ROUND(MIN(Comparison!$B$5,MAX(0,$E107+$H107)),2))</f>
        <v/>
      </c>
      <c r="G107" s="25" t="str">
        <f>IF($E107="","",ROUND(MIN(Inputs!$B$10,MAX(0,$E107+$H107-$F107)),2))</f>
        <v/>
      </c>
      <c r="H107" s="25" t="str">
        <f>IF($E107="","",ROUND(IF(Inputs!$B$12="Daily Simple Interest",$E107*Inputs!$B$6/Inputs!$B$17*$D107,$E107*Inputs!$B$6/Inputs!$B$18),2))</f>
        <v/>
      </c>
      <c r="I107" s="25" t="str">
        <f t="shared" si="11"/>
        <v/>
      </c>
      <c r="J107" s="25" t="str">
        <f>IF($E107="","",IF($F107+$G107&gt;0,Inputs!$B$11,0))</f>
        <v/>
      </c>
      <c r="K107" s="25" t="str">
        <f t="shared" si="12"/>
        <v/>
      </c>
      <c r="L107" s="25" t="str">
        <f t="shared" si="13"/>
        <v/>
      </c>
      <c r="M107" s="25" t="str">
        <f t="shared" si="14"/>
        <v/>
      </c>
      <c r="N107" s="84" t="str">
        <f t="shared" si="15"/>
        <v/>
      </c>
      <c r="O107" s="23" t="str">
        <f t="shared" si="16"/>
        <v/>
      </c>
    </row>
    <row r="108" spans="1:15" ht="20" customHeight="1">
      <c r="A108" s="22" t="str">
        <f t="shared" si="10"/>
        <v/>
      </c>
      <c r="B108" s="23" t="str">
        <f>IF($E108="","",102)</f>
        <v/>
      </c>
      <c r="C108" s="24" t="str">
        <f t="shared" si="17"/>
        <v/>
      </c>
      <c r="D108" s="23" t="str">
        <f t="shared" si="18"/>
        <v/>
      </c>
      <c r="E108" s="25" t="str">
        <f t="shared" si="19"/>
        <v/>
      </c>
      <c r="F108" s="25" t="str">
        <f>IF($E108="","",ROUND(MIN(Comparison!$B$5,MAX(0,$E108+$H108)),2))</f>
        <v/>
      </c>
      <c r="G108" s="25" t="str">
        <f>IF($E108="","",ROUND(MIN(Inputs!$B$10,MAX(0,$E108+$H108-$F108)),2))</f>
        <v/>
      </c>
      <c r="H108" s="25" t="str">
        <f>IF($E108="","",ROUND(IF(Inputs!$B$12="Daily Simple Interest",$E108*Inputs!$B$6/Inputs!$B$17*$D108,$E108*Inputs!$B$6/Inputs!$B$18),2))</f>
        <v/>
      </c>
      <c r="I108" s="25" t="str">
        <f t="shared" si="11"/>
        <v/>
      </c>
      <c r="J108" s="25" t="str">
        <f>IF($E108="","",IF($F108+$G108&gt;0,Inputs!$B$11,0))</f>
        <v/>
      </c>
      <c r="K108" s="25" t="str">
        <f t="shared" si="12"/>
        <v/>
      </c>
      <c r="L108" s="25" t="str">
        <f t="shared" si="13"/>
        <v/>
      </c>
      <c r="M108" s="25" t="str">
        <f t="shared" si="14"/>
        <v/>
      </c>
      <c r="N108" s="84" t="str">
        <f t="shared" si="15"/>
        <v/>
      </c>
      <c r="O108" s="23" t="str">
        <f t="shared" si="16"/>
        <v/>
      </c>
    </row>
    <row r="109" spans="1:15" ht="20" customHeight="1">
      <c r="A109" s="22" t="str">
        <f t="shared" si="10"/>
        <v/>
      </c>
      <c r="B109" s="23" t="str">
        <f>IF($E109="","",103)</f>
        <v/>
      </c>
      <c r="C109" s="24" t="str">
        <f t="shared" si="17"/>
        <v/>
      </c>
      <c r="D109" s="23" t="str">
        <f t="shared" si="18"/>
        <v/>
      </c>
      <c r="E109" s="25" t="str">
        <f t="shared" si="19"/>
        <v/>
      </c>
      <c r="F109" s="25" t="str">
        <f>IF($E109="","",ROUND(MIN(Comparison!$B$5,MAX(0,$E109+$H109)),2))</f>
        <v/>
      </c>
      <c r="G109" s="25" t="str">
        <f>IF($E109="","",ROUND(MIN(Inputs!$B$10,MAX(0,$E109+$H109-$F109)),2))</f>
        <v/>
      </c>
      <c r="H109" s="25" t="str">
        <f>IF($E109="","",ROUND(IF(Inputs!$B$12="Daily Simple Interest",$E109*Inputs!$B$6/Inputs!$B$17*$D109,$E109*Inputs!$B$6/Inputs!$B$18),2))</f>
        <v/>
      </c>
      <c r="I109" s="25" t="str">
        <f t="shared" si="11"/>
        <v/>
      </c>
      <c r="J109" s="25" t="str">
        <f>IF($E109="","",IF($F109+$G109&gt;0,Inputs!$B$11,0))</f>
        <v/>
      </c>
      <c r="K109" s="25" t="str">
        <f t="shared" si="12"/>
        <v/>
      </c>
      <c r="L109" s="25" t="str">
        <f t="shared" si="13"/>
        <v/>
      </c>
      <c r="M109" s="25" t="str">
        <f t="shared" si="14"/>
        <v/>
      </c>
      <c r="N109" s="84" t="str">
        <f t="shared" si="15"/>
        <v/>
      </c>
      <c r="O109" s="23" t="str">
        <f t="shared" si="16"/>
        <v/>
      </c>
    </row>
    <row r="110" spans="1:15" ht="20" customHeight="1">
      <c r="A110" s="22" t="str">
        <f t="shared" si="10"/>
        <v/>
      </c>
      <c r="B110" s="23" t="str">
        <f>IF($E110="","",104)</f>
        <v/>
      </c>
      <c r="C110" s="24" t="str">
        <f t="shared" si="17"/>
        <v/>
      </c>
      <c r="D110" s="23" t="str">
        <f t="shared" si="18"/>
        <v/>
      </c>
      <c r="E110" s="25" t="str">
        <f t="shared" si="19"/>
        <v/>
      </c>
      <c r="F110" s="25" t="str">
        <f>IF($E110="","",ROUND(MIN(Comparison!$B$5,MAX(0,$E110+$H110)),2))</f>
        <v/>
      </c>
      <c r="G110" s="25" t="str">
        <f>IF($E110="","",ROUND(MIN(Inputs!$B$10,MAX(0,$E110+$H110-$F110)),2))</f>
        <v/>
      </c>
      <c r="H110" s="25" t="str">
        <f>IF($E110="","",ROUND(IF(Inputs!$B$12="Daily Simple Interest",$E110*Inputs!$B$6/Inputs!$B$17*$D110,$E110*Inputs!$B$6/Inputs!$B$18),2))</f>
        <v/>
      </c>
      <c r="I110" s="25" t="str">
        <f t="shared" si="11"/>
        <v/>
      </c>
      <c r="J110" s="25" t="str">
        <f>IF($E110="","",IF($F110+$G110&gt;0,Inputs!$B$11,0))</f>
        <v/>
      </c>
      <c r="K110" s="25" t="str">
        <f t="shared" si="12"/>
        <v/>
      </c>
      <c r="L110" s="25" t="str">
        <f t="shared" si="13"/>
        <v/>
      </c>
      <c r="M110" s="25" t="str">
        <f t="shared" si="14"/>
        <v/>
      </c>
      <c r="N110" s="84" t="str">
        <f t="shared" si="15"/>
        <v/>
      </c>
      <c r="O110" s="23" t="str">
        <f t="shared" si="16"/>
        <v/>
      </c>
    </row>
    <row r="111" spans="1:15" ht="20" customHeight="1">
      <c r="A111" s="22" t="str">
        <f t="shared" si="10"/>
        <v/>
      </c>
      <c r="B111" s="23" t="str">
        <f>IF($E111="","",105)</f>
        <v/>
      </c>
      <c r="C111" s="24" t="str">
        <f t="shared" si="17"/>
        <v/>
      </c>
      <c r="D111" s="23" t="str">
        <f t="shared" si="18"/>
        <v/>
      </c>
      <c r="E111" s="25" t="str">
        <f t="shared" si="19"/>
        <v/>
      </c>
      <c r="F111" s="25" t="str">
        <f>IF($E111="","",ROUND(MIN(Comparison!$B$5,MAX(0,$E111+$H111)),2))</f>
        <v/>
      </c>
      <c r="G111" s="25" t="str">
        <f>IF($E111="","",ROUND(MIN(Inputs!$B$10,MAX(0,$E111+$H111-$F111)),2))</f>
        <v/>
      </c>
      <c r="H111" s="25" t="str">
        <f>IF($E111="","",ROUND(IF(Inputs!$B$12="Daily Simple Interest",$E111*Inputs!$B$6/Inputs!$B$17*$D111,$E111*Inputs!$B$6/Inputs!$B$18),2))</f>
        <v/>
      </c>
      <c r="I111" s="25" t="str">
        <f t="shared" si="11"/>
        <v/>
      </c>
      <c r="J111" s="25" t="str">
        <f>IF($E111="","",IF($F111+$G111&gt;0,Inputs!$B$11,0))</f>
        <v/>
      </c>
      <c r="K111" s="25" t="str">
        <f t="shared" si="12"/>
        <v/>
      </c>
      <c r="L111" s="25" t="str">
        <f t="shared" si="13"/>
        <v/>
      </c>
      <c r="M111" s="25" t="str">
        <f t="shared" si="14"/>
        <v/>
      </c>
      <c r="N111" s="84" t="str">
        <f t="shared" si="15"/>
        <v/>
      </c>
      <c r="O111" s="23" t="str">
        <f t="shared" si="16"/>
        <v/>
      </c>
    </row>
    <row r="112" spans="1:15" ht="20" customHeight="1">
      <c r="A112" s="22" t="str">
        <f t="shared" si="10"/>
        <v/>
      </c>
      <c r="B112" s="23" t="str">
        <f>IF($E112="","",106)</f>
        <v/>
      </c>
      <c r="C112" s="24" t="str">
        <f t="shared" si="17"/>
        <v/>
      </c>
      <c r="D112" s="23" t="str">
        <f t="shared" si="18"/>
        <v/>
      </c>
      <c r="E112" s="25" t="str">
        <f t="shared" si="19"/>
        <v/>
      </c>
      <c r="F112" s="25" t="str">
        <f>IF($E112="","",ROUND(MIN(Comparison!$B$5,MAX(0,$E112+$H112)),2))</f>
        <v/>
      </c>
      <c r="G112" s="25" t="str">
        <f>IF($E112="","",ROUND(MIN(Inputs!$B$10,MAX(0,$E112+$H112-$F112)),2))</f>
        <v/>
      </c>
      <c r="H112" s="25" t="str">
        <f>IF($E112="","",ROUND(IF(Inputs!$B$12="Daily Simple Interest",$E112*Inputs!$B$6/Inputs!$B$17*$D112,$E112*Inputs!$B$6/Inputs!$B$18),2))</f>
        <v/>
      </c>
      <c r="I112" s="25" t="str">
        <f t="shared" si="11"/>
        <v/>
      </c>
      <c r="J112" s="25" t="str">
        <f>IF($E112="","",IF($F112+$G112&gt;0,Inputs!$B$11,0))</f>
        <v/>
      </c>
      <c r="K112" s="25" t="str">
        <f t="shared" si="12"/>
        <v/>
      </c>
      <c r="L112" s="25" t="str">
        <f t="shared" si="13"/>
        <v/>
      </c>
      <c r="M112" s="25" t="str">
        <f t="shared" si="14"/>
        <v/>
      </c>
      <c r="N112" s="84" t="str">
        <f t="shared" si="15"/>
        <v/>
      </c>
      <c r="O112" s="23" t="str">
        <f t="shared" si="16"/>
        <v/>
      </c>
    </row>
    <row r="113" spans="1:15" ht="20" customHeight="1">
      <c r="A113" s="22" t="str">
        <f t="shared" si="10"/>
        <v/>
      </c>
      <c r="B113" s="23" t="str">
        <f>IF($E113="","",107)</f>
        <v/>
      </c>
      <c r="C113" s="24" t="str">
        <f t="shared" si="17"/>
        <v/>
      </c>
      <c r="D113" s="23" t="str">
        <f t="shared" si="18"/>
        <v/>
      </c>
      <c r="E113" s="25" t="str">
        <f t="shared" si="19"/>
        <v/>
      </c>
      <c r="F113" s="25" t="str">
        <f>IF($E113="","",ROUND(MIN(Comparison!$B$5,MAX(0,$E113+$H113)),2))</f>
        <v/>
      </c>
      <c r="G113" s="25" t="str">
        <f>IF($E113="","",ROUND(MIN(Inputs!$B$10,MAX(0,$E113+$H113-$F113)),2))</f>
        <v/>
      </c>
      <c r="H113" s="25" t="str">
        <f>IF($E113="","",ROUND(IF(Inputs!$B$12="Daily Simple Interest",$E113*Inputs!$B$6/Inputs!$B$17*$D113,$E113*Inputs!$B$6/Inputs!$B$18),2))</f>
        <v/>
      </c>
      <c r="I113" s="25" t="str">
        <f t="shared" si="11"/>
        <v/>
      </c>
      <c r="J113" s="25" t="str">
        <f>IF($E113="","",IF($F113+$G113&gt;0,Inputs!$B$11,0))</f>
        <v/>
      </c>
      <c r="K113" s="25" t="str">
        <f t="shared" si="12"/>
        <v/>
      </c>
      <c r="L113" s="25" t="str">
        <f t="shared" si="13"/>
        <v/>
      </c>
      <c r="M113" s="25" t="str">
        <f t="shared" si="14"/>
        <v/>
      </c>
      <c r="N113" s="84" t="str">
        <f t="shared" si="15"/>
        <v/>
      </c>
      <c r="O113" s="23" t="str">
        <f t="shared" si="16"/>
        <v/>
      </c>
    </row>
    <row r="114" spans="1:15" ht="20" customHeight="1">
      <c r="A114" s="22" t="str">
        <f t="shared" si="10"/>
        <v/>
      </c>
      <c r="B114" s="23" t="str">
        <f>IF($E114="","",108)</f>
        <v/>
      </c>
      <c r="C114" s="24" t="str">
        <f t="shared" si="17"/>
        <v/>
      </c>
      <c r="D114" s="23" t="str">
        <f t="shared" si="18"/>
        <v/>
      </c>
      <c r="E114" s="25" t="str">
        <f t="shared" si="19"/>
        <v/>
      </c>
      <c r="F114" s="25" t="str">
        <f>IF($E114="","",ROUND(MIN(Comparison!$B$5,MAX(0,$E114+$H114)),2))</f>
        <v/>
      </c>
      <c r="G114" s="25" t="str">
        <f>IF($E114="","",ROUND(MIN(Inputs!$B$10,MAX(0,$E114+$H114-$F114)),2))</f>
        <v/>
      </c>
      <c r="H114" s="25" t="str">
        <f>IF($E114="","",ROUND(IF(Inputs!$B$12="Daily Simple Interest",$E114*Inputs!$B$6/Inputs!$B$17*$D114,$E114*Inputs!$B$6/Inputs!$B$18),2))</f>
        <v/>
      </c>
      <c r="I114" s="25" t="str">
        <f t="shared" si="11"/>
        <v/>
      </c>
      <c r="J114" s="25" t="str">
        <f>IF($E114="","",IF($F114+$G114&gt;0,Inputs!$B$11,0))</f>
        <v/>
      </c>
      <c r="K114" s="25" t="str">
        <f t="shared" si="12"/>
        <v/>
      </c>
      <c r="L114" s="25" t="str">
        <f t="shared" si="13"/>
        <v/>
      </c>
      <c r="M114" s="25" t="str">
        <f t="shared" si="14"/>
        <v/>
      </c>
      <c r="N114" s="84" t="str">
        <f t="shared" si="15"/>
        <v/>
      </c>
      <c r="O114" s="23" t="str">
        <f t="shared" si="16"/>
        <v/>
      </c>
    </row>
    <row r="115" spans="1:15" ht="20" customHeight="1">
      <c r="A115" s="22" t="str">
        <f t="shared" si="10"/>
        <v/>
      </c>
      <c r="B115" s="23" t="str">
        <f>IF($E115="","",109)</f>
        <v/>
      </c>
      <c r="C115" s="24" t="str">
        <f t="shared" si="17"/>
        <v/>
      </c>
      <c r="D115" s="23" t="str">
        <f t="shared" si="18"/>
        <v/>
      </c>
      <c r="E115" s="25" t="str">
        <f t="shared" si="19"/>
        <v/>
      </c>
      <c r="F115" s="25" t="str">
        <f>IF($E115="","",ROUND(MIN(Comparison!$B$5,MAX(0,$E115+$H115)),2))</f>
        <v/>
      </c>
      <c r="G115" s="25" t="str">
        <f>IF($E115="","",ROUND(MIN(Inputs!$B$10,MAX(0,$E115+$H115-$F115)),2))</f>
        <v/>
      </c>
      <c r="H115" s="25" t="str">
        <f>IF($E115="","",ROUND(IF(Inputs!$B$12="Daily Simple Interest",$E115*Inputs!$B$6/Inputs!$B$17*$D115,$E115*Inputs!$B$6/Inputs!$B$18),2))</f>
        <v/>
      </c>
      <c r="I115" s="25" t="str">
        <f t="shared" si="11"/>
        <v/>
      </c>
      <c r="J115" s="25" t="str">
        <f>IF($E115="","",IF($F115+$G115&gt;0,Inputs!$B$11,0))</f>
        <v/>
      </c>
      <c r="K115" s="25" t="str">
        <f t="shared" si="12"/>
        <v/>
      </c>
      <c r="L115" s="25" t="str">
        <f t="shared" si="13"/>
        <v/>
      </c>
      <c r="M115" s="25" t="str">
        <f t="shared" si="14"/>
        <v/>
      </c>
      <c r="N115" s="84" t="str">
        <f t="shared" si="15"/>
        <v/>
      </c>
      <c r="O115" s="23" t="str">
        <f t="shared" si="16"/>
        <v/>
      </c>
    </row>
    <row r="116" spans="1:15" ht="20" customHeight="1">
      <c r="A116" s="22" t="str">
        <f t="shared" si="10"/>
        <v/>
      </c>
      <c r="B116" s="23" t="str">
        <f>IF($E116="","",110)</f>
        <v/>
      </c>
      <c r="C116" s="24" t="str">
        <f t="shared" si="17"/>
        <v/>
      </c>
      <c r="D116" s="23" t="str">
        <f t="shared" si="18"/>
        <v/>
      </c>
      <c r="E116" s="25" t="str">
        <f t="shared" si="19"/>
        <v/>
      </c>
      <c r="F116" s="25" t="str">
        <f>IF($E116="","",ROUND(MIN(Comparison!$B$5,MAX(0,$E116+$H116)),2))</f>
        <v/>
      </c>
      <c r="G116" s="25" t="str">
        <f>IF($E116="","",ROUND(MIN(Inputs!$B$10,MAX(0,$E116+$H116-$F116)),2))</f>
        <v/>
      </c>
      <c r="H116" s="25" t="str">
        <f>IF($E116="","",ROUND(IF(Inputs!$B$12="Daily Simple Interest",$E116*Inputs!$B$6/Inputs!$B$17*$D116,$E116*Inputs!$B$6/Inputs!$B$18),2))</f>
        <v/>
      </c>
      <c r="I116" s="25" t="str">
        <f t="shared" si="11"/>
        <v/>
      </c>
      <c r="J116" s="25" t="str">
        <f>IF($E116="","",IF($F116+$G116&gt;0,Inputs!$B$11,0))</f>
        <v/>
      </c>
      <c r="K116" s="25" t="str">
        <f t="shared" si="12"/>
        <v/>
      </c>
      <c r="L116" s="25" t="str">
        <f t="shared" si="13"/>
        <v/>
      </c>
      <c r="M116" s="25" t="str">
        <f t="shared" si="14"/>
        <v/>
      </c>
      <c r="N116" s="84" t="str">
        <f t="shared" si="15"/>
        <v/>
      </c>
      <c r="O116" s="23" t="str">
        <f t="shared" si="16"/>
        <v/>
      </c>
    </row>
    <row r="117" spans="1:15" ht="20" customHeight="1">
      <c r="A117" s="22" t="str">
        <f t="shared" si="10"/>
        <v/>
      </c>
      <c r="B117" s="23" t="str">
        <f>IF($E117="","",111)</f>
        <v/>
      </c>
      <c r="C117" s="24" t="str">
        <f t="shared" si="17"/>
        <v/>
      </c>
      <c r="D117" s="23" t="str">
        <f t="shared" si="18"/>
        <v/>
      </c>
      <c r="E117" s="25" t="str">
        <f t="shared" si="19"/>
        <v/>
      </c>
      <c r="F117" s="25" t="str">
        <f>IF($E117="","",ROUND(MIN(Comparison!$B$5,MAX(0,$E117+$H117)),2))</f>
        <v/>
      </c>
      <c r="G117" s="25" t="str">
        <f>IF($E117="","",ROUND(MIN(Inputs!$B$10,MAX(0,$E117+$H117-$F117)),2))</f>
        <v/>
      </c>
      <c r="H117" s="25" t="str">
        <f>IF($E117="","",ROUND(IF(Inputs!$B$12="Daily Simple Interest",$E117*Inputs!$B$6/Inputs!$B$17*$D117,$E117*Inputs!$B$6/Inputs!$B$18),2))</f>
        <v/>
      </c>
      <c r="I117" s="25" t="str">
        <f t="shared" si="11"/>
        <v/>
      </c>
      <c r="J117" s="25" t="str">
        <f>IF($E117="","",IF($F117+$G117&gt;0,Inputs!$B$11,0))</f>
        <v/>
      </c>
      <c r="K117" s="25" t="str">
        <f t="shared" si="12"/>
        <v/>
      </c>
      <c r="L117" s="25" t="str">
        <f t="shared" si="13"/>
        <v/>
      </c>
      <c r="M117" s="25" t="str">
        <f t="shared" si="14"/>
        <v/>
      </c>
      <c r="N117" s="84" t="str">
        <f t="shared" si="15"/>
        <v/>
      </c>
      <c r="O117" s="23" t="str">
        <f t="shared" si="16"/>
        <v/>
      </c>
    </row>
    <row r="118" spans="1:15" ht="20" customHeight="1">
      <c r="A118" s="22" t="str">
        <f t="shared" si="10"/>
        <v/>
      </c>
      <c r="B118" s="23" t="str">
        <f>IF($E118="","",112)</f>
        <v/>
      </c>
      <c r="C118" s="24" t="str">
        <f t="shared" si="17"/>
        <v/>
      </c>
      <c r="D118" s="23" t="str">
        <f t="shared" si="18"/>
        <v/>
      </c>
      <c r="E118" s="25" t="str">
        <f t="shared" si="19"/>
        <v/>
      </c>
      <c r="F118" s="25" t="str">
        <f>IF($E118="","",ROUND(MIN(Comparison!$B$5,MAX(0,$E118+$H118)),2))</f>
        <v/>
      </c>
      <c r="G118" s="25" t="str">
        <f>IF($E118="","",ROUND(MIN(Inputs!$B$10,MAX(0,$E118+$H118-$F118)),2))</f>
        <v/>
      </c>
      <c r="H118" s="25" t="str">
        <f>IF($E118="","",ROUND(IF(Inputs!$B$12="Daily Simple Interest",$E118*Inputs!$B$6/Inputs!$B$17*$D118,$E118*Inputs!$B$6/Inputs!$B$18),2))</f>
        <v/>
      </c>
      <c r="I118" s="25" t="str">
        <f t="shared" si="11"/>
        <v/>
      </c>
      <c r="J118" s="25" t="str">
        <f>IF($E118="","",IF($F118+$G118&gt;0,Inputs!$B$11,0))</f>
        <v/>
      </c>
      <c r="K118" s="25" t="str">
        <f t="shared" si="12"/>
        <v/>
      </c>
      <c r="L118" s="25" t="str">
        <f t="shared" si="13"/>
        <v/>
      </c>
      <c r="M118" s="25" t="str">
        <f t="shared" si="14"/>
        <v/>
      </c>
      <c r="N118" s="84" t="str">
        <f t="shared" si="15"/>
        <v/>
      </c>
      <c r="O118" s="23" t="str">
        <f t="shared" si="16"/>
        <v/>
      </c>
    </row>
    <row r="119" spans="1:15" ht="20" customHeight="1">
      <c r="A119" s="22" t="str">
        <f t="shared" si="10"/>
        <v/>
      </c>
      <c r="B119" s="23" t="str">
        <f>IF($E119="","",113)</f>
        <v/>
      </c>
      <c r="C119" s="24" t="str">
        <f t="shared" si="17"/>
        <v/>
      </c>
      <c r="D119" s="23" t="str">
        <f t="shared" si="18"/>
        <v/>
      </c>
      <c r="E119" s="25" t="str">
        <f t="shared" si="19"/>
        <v/>
      </c>
      <c r="F119" s="25" t="str">
        <f>IF($E119="","",ROUND(MIN(Comparison!$B$5,MAX(0,$E119+$H119)),2))</f>
        <v/>
      </c>
      <c r="G119" s="25" t="str">
        <f>IF($E119="","",ROUND(MIN(Inputs!$B$10,MAX(0,$E119+$H119-$F119)),2))</f>
        <v/>
      </c>
      <c r="H119" s="25" t="str">
        <f>IF($E119="","",ROUND(IF(Inputs!$B$12="Daily Simple Interest",$E119*Inputs!$B$6/Inputs!$B$17*$D119,$E119*Inputs!$B$6/Inputs!$B$18),2))</f>
        <v/>
      </c>
      <c r="I119" s="25" t="str">
        <f t="shared" si="11"/>
        <v/>
      </c>
      <c r="J119" s="25" t="str">
        <f>IF($E119="","",IF($F119+$G119&gt;0,Inputs!$B$11,0))</f>
        <v/>
      </c>
      <c r="K119" s="25" t="str">
        <f t="shared" si="12"/>
        <v/>
      </c>
      <c r="L119" s="25" t="str">
        <f t="shared" si="13"/>
        <v/>
      </c>
      <c r="M119" s="25" t="str">
        <f t="shared" si="14"/>
        <v/>
      </c>
      <c r="N119" s="84" t="str">
        <f t="shared" si="15"/>
        <v/>
      </c>
      <c r="O119" s="23" t="str">
        <f t="shared" si="16"/>
        <v/>
      </c>
    </row>
    <row r="120" spans="1:15" ht="20" customHeight="1">
      <c r="A120" s="22" t="str">
        <f t="shared" si="10"/>
        <v/>
      </c>
      <c r="B120" s="23" t="str">
        <f>IF($E120="","",114)</f>
        <v/>
      </c>
      <c r="C120" s="24" t="str">
        <f t="shared" si="17"/>
        <v/>
      </c>
      <c r="D120" s="23" t="str">
        <f t="shared" si="18"/>
        <v/>
      </c>
      <c r="E120" s="25" t="str">
        <f t="shared" si="19"/>
        <v/>
      </c>
      <c r="F120" s="25" t="str">
        <f>IF($E120="","",ROUND(MIN(Comparison!$B$5,MAX(0,$E120+$H120)),2))</f>
        <v/>
      </c>
      <c r="G120" s="25" t="str">
        <f>IF($E120="","",ROUND(MIN(Inputs!$B$10,MAX(0,$E120+$H120-$F120)),2))</f>
        <v/>
      </c>
      <c r="H120" s="25" t="str">
        <f>IF($E120="","",ROUND(IF(Inputs!$B$12="Daily Simple Interest",$E120*Inputs!$B$6/Inputs!$B$17*$D120,$E120*Inputs!$B$6/Inputs!$B$18),2))</f>
        <v/>
      </c>
      <c r="I120" s="25" t="str">
        <f t="shared" si="11"/>
        <v/>
      </c>
      <c r="J120" s="25" t="str">
        <f>IF($E120="","",IF($F120+$G120&gt;0,Inputs!$B$11,0))</f>
        <v/>
      </c>
      <c r="K120" s="25" t="str">
        <f t="shared" si="12"/>
        <v/>
      </c>
      <c r="L120" s="25" t="str">
        <f t="shared" si="13"/>
        <v/>
      </c>
      <c r="M120" s="25" t="str">
        <f t="shared" si="14"/>
        <v/>
      </c>
      <c r="N120" s="84" t="str">
        <f t="shared" si="15"/>
        <v/>
      </c>
      <c r="O120" s="23" t="str">
        <f t="shared" si="16"/>
        <v/>
      </c>
    </row>
    <row r="121" spans="1:15" ht="20" customHeight="1">
      <c r="A121" s="22" t="str">
        <f t="shared" si="10"/>
        <v/>
      </c>
      <c r="B121" s="23" t="str">
        <f>IF($E121="","",115)</f>
        <v/>
      </c>
      <c r="C121" s="24" t="str">
        <f t="shared" si="17"/>
        <v/>
      </c>
      <c r="D121" s="23" t="str">
        <f t="shared" si="18"/>
        <v/>
      </c>
      <c r="E121" s="25" t="str">
        <f t="shared" si="19"/>
        <v/>
      </c>
      <c r="F121" s="25" t="str">
        <f>IF($E121="","",ROUND(MIN(Comparison!$B$5,MAX(0,$E121+$H121)),2))</f>
        <v/>
      </c>
      <c r="G121" s="25" t="str">
        <f>IF($E121="","",ROUND(MIN(Inputs!$B$10,MAX(0,$E121+$H121-$F121)),2))</f>
        <v/>
      </c>
      <c r="H121" s="25" t="str">
        <f>IF($E121="","",ROUND(IF(Inputs!$B$12="Daily Simple Interest",$E121*Inputs!$B$6/Inputs!$B$17*$D121,$E121*Inputs!$B$6/Inputs!$B$18),2))</f>
        <v/>
      </c>
      <c r="I121" s="25" t="str">
        <f t="shared" si="11"/>
        <v/>
      </c>
      <c r="J121" s="25" t="str">
        <f>IF($E121="","",IF($F121+$G121&gt;0,Inputs!$B$11,0))</f>
        <v/>
      </c>
      <c r="K121" s="25" t="str">
        <f t="shared" si="12"/>
        <v/>
      </c>
      <c r="L121" s="25" t="str">
        <f t="shared" si="13"/>
        <v/>
      </c>
      <c r="M121" s="25" t="str">
        <f t="shared" si="14"/>
        <v/>
      </c>
      <c r="N121" s="84" t="str">
        <f t="shared" si="15"/>
        <v/>
      </c>
      <c r="O121" s="23" t="str">
        <f t="shared" si="16"/>
        <v/>
      </c>
    </row>
    <row r="122" spans="1:15" ht="20" customHeight="1">
      <c r="A122" s="22" t="str">
        <f t="shared" si="10"/>
        <v/>
      </c>
      <c r="B122" s="23" t="str">
        <f>IF($E122="","",116)</f>
        <v/>
      </c>
      <c r="C122" s="24" t="str">
        <f t="shared" si="17"/>
        <v/>
      </c>
      <c r="D122" s="23" t="str">
        <f t="shared" si="18"/>
        <v/>
      </c>
      <c r="E122" s="25" t="str">
        <f t="shared" si="19"/>
        <v/>
      </c>
      <c r="F122" s="25" t="str">
        <f>IF($E122="","",ROUND(MIN(Comparison!$B$5,MAX(0,$E122+$H122)),2))</f>
        <v/>
      </c>
      <c r="G122" s="25" t="str">
        <f>IF($E122="","",ROUND(MIN(Inputs!$B$10,MAX(0,$E122+$H122-$F122)),2))</f>
        <v/>
      </c>
      <c r="H122" s="25" t="str">
        <f>IF($E122="","",ROUND(IF(Inputs!$B$12="Daily Simple Interest",$E122*Inputs!$B$6/Inputs!$B$17*$D122,$E122*Inputs!$B$6/Inputs!$B$18),2))</f>
        <v/>
      </c>
      <c r="I122" s="25" t="str">
        <f t="shared" si="11"/>
        <v/>
      </c>
      <c r="J122" s="25" t="str">
        <f>IF($E122="","",IF($F122+$G122&gt;0,Inputs!$B$11,0))</f>
        <v/>
      </c>
      <c r="K122" s="25" t="str">
        <f t="shared" si="12"/>
        <v/>
      </c>
      <c r="L122" s="25" t="str">
        <f t="shared" si="13"/>
        <v/>
      </c>
      <c r="M122" s="25" t="str">
        <f t="shared" si="14"/>
        <v/>
      </c>
      <c r="N122" s="84" t="str">
        <f t="shared" si="15"/>
        <v/>
      </c>
      <c r="O122" s="23" t="str">
        <f t="shared" si="16"/>
        <v/>
      </c>
    </row>
    <row r="123" spans="1:15" ht="20" customHeight="1">
      <c r="A123" s="22" t="str">
        <f t="shared" si="10"/>
        <v/>
      </c>
      <c r="B123" s="23" t="str">
        <f>IF($E123="","",117)</f>
        <v/>
      </c>
      <c r="C123" s="24" t="str">
        <f t="shared" si="17"/>
        <v/>
      </c>
      <c r="D123" s="23" t="str">
        <f t="shared" si="18"/>
        <v/>
      </c>
      <c r="E123" s="25" t="str">
        <f t="shared" si="19"/>
        <v/>
      </c>
      <c r="F123" s="25" t="str">
        <f>IF($E123="","",ROUND(MIN(Comparison!$B$5,MAX(0,$E123+$H123)),2))</f>
        <v/>
      </c>
      <c r="G123" s="25" t="str">
        <f>IF($E123="","",ROUND(MIN(Inputs!$B$10,MAX(0,$E123+$H123-$F123)),2))</f>
        <v/>
      </c>
      <c r="H123" s="25" t="str">
        <f>IF($E123="","",ROUND(IF(Inputs!$B$12="Daily Simple Interest",$E123*Inputs!$B$6/Inputs!$B$17*$D123,$E123*Inputs!$B$6/Inputs!$B$18),2))</f>
        <v/>
      </c>
      <c r="I123" s="25" t="str">
        <f t="shared" si="11"/>
        <v/>
      </c>
      <c r="J123" s="25" t="str">
        <f>IF($E123="","",IF($F123+$G123&gt;0,Inputs!$B$11,0))</f>
        <v/>
      </c>
      <c r="K123" s="25" t="str">
        <f t="shared" si="12"/>
        <v/>
      </c>
      <c r="L123" s="25" t="str">
        <f t="shared" si="13"/>
        <v/>
      </c>
      <c r="M123" s="25" t="str">
        <f t="shared" si="14"/>
        <v/>
      </c>
      <c r="N123" s="84" t="str">
        <f t="shared" si="15"/>
        <v/>
      </c>
      <c r="O123" s="23" t="str">
        <f t="shared" si="16"/>
        <v/>
      </c>
    </row>
    <row r="124" spans="1:15" ht="20" customHeight="1">
      <c r="A124" s="22" t="str">
        <f t="shared" si="10"/>
        <v/>
      </c>
      <c r="B124" s="23" t="str">
        <f>IF($E124="","",118)</f>
        <v/>
      </c>
      <c r="C124" s="24" t="str">
        <f t="shared" si="17"/>
        <v/>
      </c>
      <c r="D124" s="23" t="str">
        <f t="shared" si="18"/>
        <v/>
      </c>
      <c r="E124" s="25" t="str">
        <f t="shared" si="19"/>
        <v/>
      </c>
      <c r="F124" s="25" t="str">
        <f>IF($E124="","",ROUND(MIN(Comparison!$B$5,MAX(0,$E124+$H124)),2))</f>
        <v/>
      </c>
      <c r="G124" s="25" t="str">
        <f>IF($E124="","",ROUND(MIN(Inputs!$B$10,MAX(0,$E124+$H124-$F124)),2))</f>
        <v/>
      </c>
      <c r="H124" s="25" t="str">
        <f>IF($E124="","",ROUND(IF(Inputs!$B$12="Daily Simple Interest",$E124*Inputs!$B$6/Inputs!$B$17*$D124,$E124*Inputs!$B$6/Inputs!$B$18),2))</f>
        <v/>
      </c>
      <c r="I124" s="25" t="str">
        <f t="shared" si="11"/>
        <v/>
      </c>
      <c r="J124" s="25" t="str">
        <f>IF($E124="","",IF($F124+$G124&gt;0,Inputs!$B$11,0))</f>
        <v/>
      </c>
      <c r="K124" s="25" t="str">
        <f t="shared" si="12"/>
        <v/>
      </c>
      <c r="L124" s="25" t="str">
        <f t="shared" si="13"/>
        <v/>
      </c>
      <c r="M124" s="25" t="str">
        <f t="shared" si="14"/>
        <v/>
      </c>
      <c r="N124" s="84" t="str">
        <f t="shared" si="15"/>
        <v/>
      </c>
      <c r="O124" s="23" t="str">
        <f t="shared" si="16"/>
        <v/>
      </c>
    </row>
    <row r="125" spans="1:15" ht="20" customHeight="1">
      <c r="A125" s="22" t="str">
        <f t="shared" si="10"/>
        <v/>
      </c>
      <c r="B125" s="23" t="str">
        <f>IF($E125="","",119)</f>
        <v/>
      </c>
      <c r="C125" s="24" t="str">
        <f t="shared" si="17"/>
        <v/>
      </c>
      <c r="D125" s="23" t="str">
        <f t="shared" si="18"/>
        <v/>
      </c>
      <c r="E125" s="25" t="str">
        <f t="shared" si="19"/>
        <v/>
      </c>
      <c r="F125" s="25" t="str">
        <f>IF($E125="","",ROUND(MIN(Comparison!$B$5,MAX(0,$E125+$H125)),2))</f>
        <v/>
      </c>
      <c r="G125" s="25" t="str">
        <f>IF($E125="","",ROUND(MIN(Inputs!$B$10,MAX(0,$E125+$H125-$F125)),2))</f>
        <v/>
      </c>
      <c r="H125" s="25" t="str">
        <f>IF($E125="","",ROUND(IF(Inputs!$B$12="Daily Simple Interest",$E125*Inputs!$B$6/Inputs!$B$17*$D125,$E125*Inputs!$B$6/Inputs!$B$18),2))</f>
        <v/>
      </c>
      <c r="I125" s="25" t="str">
        <f t="shared" si="11"/>
        <v/>
      </c>
      <c r="J125" s="25" t="str">
        <f>IF($E125="","",IF($F125+$G125&gt;0,Inputs!$B$11,0))</f>
        <v/>
      </c>
      <c r="K125" s="25" t="str">
        <f t="shared" si="12"/>
        <v/>
      </c>
      <c r="L125" s="25" t="str">
        <f t="shared" si="13"/>
        <v/>
      </c>
      <c r="M125" s="25" t="str">
        <f t="shared" si="14"/>
        <v/>
      </c>
      <c r="N125" s="84" t="str">
        <f t="shared" si="15"/>
        <v/>
      </c>
      <c r="O125" s="23" t="str">
        <f t="shared" si="16"/>
        <v/>
      </c>
    </row>
    <row r="126" spans="1:15" ht="20" customHeight="1">
      <c r="A126" s="22" t="str">
        <f t="shared" si="10"/>
        <v/>
      </c>
      <c r="B126" s="23" t="str">
        <f>IF($E126="","",120)</f>
        <v/>
      </c>
      <c r="C126" s="24" t="str">
        <f t="shared" si="17"/>
        <v/>
      </c>
      <c r="D126" s="23" t="str">
        <f t="shared" si="18"/>
        <v/>
      </c>
      <c r="E126" s="25" t="str">
        <f t="shared" si="19"/>
        <v/>
      </c>
      <c r="F126" s="25" t="str">
        <f>IF($E126="","",ROUND(MIN(Comparison!$B$5,MAX(0,$E126+$H126)),2))</f>
        <v/>
      </c>
      <c r="G126" s="25" t="str">
        <f>IF($E126="","",ROUND(MIN(Inputs!$B$10,MAX(0,$E126+$H126-$F126)),2))</f>
        <v/>
      </c>
      <c r="H126" s="25" t="str">
        <f>IF($E126="","",ROUND(IF(Inputs!$B$12="Daily Simple Interest",$E126*Inputs!$B$6/Inputs!$B$17*$D126,$E126*Inputs!$B$6/Inputs!$B$18),2))</f>
        <v/>
      </c>
      <c r="I126" s="25" t="str">
        <f t="shared" si="11"/>
        <v/>
      </c>
      <c r="J126" s="25" t="str">
        <f>IF($E126="","",IF($F126+$G126&gt;0,Inputs!$B$11,0))</f>
        <v/>
      </c>
      <c r="K126" s="25" t="str">
        <f t="shared" si="12"/>
        <v/>
      </c>
      <c r="L126" s="25" t="str">
        <f t="shared" si="13"/>
        <v/>
      </c>
      <c r="M126" s="25" t="str">
        <f t="shared" si="14"/>
        <v/>
      </c>
      <c r="N126" s="84" t="str">
        <f t="shared" si="15"/>
        <v/>
      </c>
      <c r="O126" s="23" t="str">
        <f t="shared" si="16"/>
        <v/>
      </c>
    </row>
    <row r="127" spans="1:15" ht="20" customHeight="1">
      <c r="A127" s="22" t="str">
        <f t="shared" si="10"/>
        <v/>
      </c>
      <c r="B127" s="23" t="str">
        <f>IF($E127="","",121)</f>
        <v/>
      </c>
      <c r="C127" s="24" t="str">
        <f t="shared" si="17"/>
        <v/>
      </c>
      <c r="D127" s="23" t="str">
        <f t="shared" si="18"/>
        <v/>
      </c>
      <c r="E127" s="25" t="str">
        <f t="shared" si="19"/>
        <v/>
      </c>
      <c r="F127" s="25" t="str">
        <f>IF($E127="","",ROUND(MIN(Comparison!$B$5,MAX(0,$E127+$H127)),2))</f>
        <v/>
      </c>
      <c r="G127" s="25" t="str">
        <f>IF($E127="","",ROUND(MIN(Inputs!$B$10,MAX(0,$E127+$H127-$F127)),2))</f>
        <v/>
      </c>
      <c r="H127" s="25" t="str">
        <f>IF($E127="","",ROUND(IF(Inputs!$B$12="Daily Simple Interest",$E127*Inputs!$B$6/Inputs!$B$17*$D127,$E127*Inputs!$B$6/Inputs!$B$18),2))</f>
        <v/>
      </c>
      <c r="I127" s="25" t="str">
        <f t="shared" si="11"/>
        <v/>
      </c>
      <c r="J127" s="25" t="str">
        <f>IF($E127="","",IF($F127+$G127&gt;0,Inputs!$B$11,0))</f>
        <v/>
      </c>
      <c r="K127" s="25" t="str">
        <f t="shared" si="12"/>
        <v/>
      </c>
      <c r="L127" s="25" t="str">
        <f t="shared" si="13"/>
        <v/>
      </c>
      <c r="M127" s="25" t="str">
        <f t="shared" si="14"/>
        <v/>
      </c>
      <c r="N127" s="84" t="str">
        <f t="shared" si="15"/>
        <v/>
      </c>
      <c r="O127" s="23" t="str">
        <f t="shared" si="16"/>
        <v/>
      </c>
    </row>
    <row r="128" spans="1:15" ht="20" customHeight="1">
      <c r="A128" s="22" t="str">
        <f t="shared" si="10"/>
        <v/>
      </c>
      <c r="B128" s="23" t="str">
        <f>IF($E128="","",122)</f>
        <v/>
      </c>
      <c r="C128" s="24" t="str">
        <f t="shared" si="17"/>
        <v/>
      </c>
      <c r="D128" s="23" t="str">
        <f t="shared" si="18"/>
        <v/>
      </c>
      <c r="E128" s="25" t="str">
        <f t="shared" si="19"/>
        <v/>
      </c>
      <c r="F128" s="25" t="str">
        <f>IF($E128="","",ROUND(MIN(Comparison!$B$5,MAX(0,$E128+$H128)),2))</f>
        <v/>
      </c>
      <c r="G128" s="25" t="str">
        <f>IF($E128="","",ROUND(MIN(Inputs!$B$10,MAX(0,$E128+$H128-$F128)),2))</f>
        <v/>
      </c>
      <c r="H128" s="25" t="str">
        <f>IF($E128="","",ROUND(IF(Inputs!$B$12="Daily Simple Interest",$E128*Inputs!$B$6/Inputs!$B$17*$D128,$E128*Inputs!$B$6/Inputs!$B$18),2))</f>
        <v/>
      </c>
      <c r="I128" s="25" t="str">
        <f t="shared" si="11"/>
        <v/>
      </c>
      <c r="J128" s="25" t="str">
        <f>IF($E128="","",IF($F128+$G128&gt;0,Inputs!$B$11,0))</f>
        <v/>
      </c>
      <c r="K128" s="25" t="str">
        <f t="shared" si="12"/>
        <v/>
      </c>
      <c r="L128" s="25" t="str">
        <f t="shared" si="13"/>
        <v/>
      </c>
      <c r="M128" s="25" t="str">
        <f t="shared" si="14"/>
        <v/>
      </c>
      <c r="N128" s="84" t="str">
        <f t="shared" si="15"/>
        <v/>
      </c>
      <c r="O128" s="23" t="str">
        <f t="shared" si="16"/>
        <v/>
      </c>
    </row>
    <row r="129" spans="1:15" ht="20" customHeight="1">
      <c r="A129" s="22" t="str">
        <f t="shared" si="10"/>
        <v/>
      </c>
      <c r="B129" s="23" t="str">
        <f>IF($E129="","",123)</f>
        <v/>
      </c>
      <c r="C129" s="24" t="str">
        <f t="shared" si="17"/>
        <v/>
      </c>
      <c r="D129" s="23" t="str">
        <f t="shared" si="18"/>
        <v/>
      </c>
      <c r="E129" s="25" t="str">
        <f t="shared" si="19"/>
        <v/>
      </c>
      <c r="F129" s="25" t="str">
        <f>IF($E129="","",ROUND(MIN(Comparison!$B$5,MAX(0,$E129+$H129)),2))</f>
        <v/>
      </c>
      <c r="G129" s="25" t="str">
        <f>IF($E129="","",ROUND(MIN(Inputs!$B$10,MAX(0,$E129+$H129-$F129)),2))</f>
        <v/>
      </c>
      <c r="H129" s="25" t="str">
        <f>IF($E129="","",ROUND(IF(Inputs!$B$12="Daily Simple Interest",$E129*Inputs!$B$6/Inputs!$B$17*$D129,$E129*Inputs!$B$6/Inputs!$B$18),2))</f>
        <v/>
      </c>
      <c r="I129" s="25" t="str">
        <f t="shared" si="11"/>
        <v/>
      </c>
      <c r="J129" s="25" t="str">
        <f>IF($E129="","",IF($F129+$G129&gt;0,Inputs!$B$11,0))</f>
        <v/>
      </c>
      <c r="K129" s="25" t="str">
        <f t="shared" si="12"/>
        <v/>
      </c>
      <c r="L129" s="25" t="str">
        <f t="shared" si="13"/>
        <v/>
      </c>
      <c r="M129" s="25" t="str">
        <f t="shared" si="14"/>
        <v/>
      </c>
      <c r="N129" s="84" t="str">
        <f t="shared" si="15"/>
        <v/>
      </c>
      <c r="O129" s="23" t="str">
        <f t="shared" si="16"/>
        <v/>
      </c>
    </row>
    <row r="130" spans="1:15" ht="20" customHeight="1">
      <c r="A130" s="22" t="str">
        <f t="shared" si="10"/>
        <v/>
      </c>
      <c r="B130" s="23" t="str">
        <f>IF($E130="","",124)</f>
        <v/>
      </c>
      <c r="C130" s="24" t="str">
        <f t="shared" si="17"/>
        <v/>
      </c>
      <c r="D130" s="23" t="str">
        <f t="shared" si="18"/>
        <v/>
      </c>
      <c r="E130" s="25" t="str">
        <f t="shared" si="19"/>
        <v/>
      </c>
      <c r="F130" s="25" t="str">
        <f>IF($E130="","",ROUND(MIN(Comparison!$B$5,MAX(0,$E130+$H130)),2))</f>
        <v/>
      </c>
      <c r="G130" s="25" t="str">
        <f>IF($E130="","",ROUND(MIN(Inputs!$B$10,MAX(0,$E130+$H130-$F130)),2))</f>
        <v/>
      </c>
      <c r="H130" s="25" t="str">
        <f>IF($E130="","",ROUND(IF(Inputs!$B$12="Daily Simple Interest",$E130*Inputs!$B$6/Inputs!$B$17*$D130,$E130*Inputs!$B$6/Inputs!$B$18),2))</f>
        <v/>
      </c>
      <c r="I130" s="25" t="str">
        <f t="shared" si="11"/>
        <v/>
      </c>
      <c r="J130" s="25" t="str">
        <f>IF($E130="","",IF($F130+$G130&gt;0,Inputs!$B$11,0))</f>
        <v/>
      </c>
      <c r="K130" s="25" t="str">
        <f t="shared" si="12"/>
        <v/>
      </c>
      <c r="L130" s="25" t="str">
        <f t="shared" si="13"/>
        <v/>
      </c>
      <c r="M130" s="25" t="str">
        <f t="shared" si="14"/>
        <v/>
      </c>
      <c r="N130" s="84" t="str">
        <f t="shared" si="15"/>
        <v/>
      </c>
      <c r="O130" s="23" t="str">
        <f t="shared" si="16"/>
        <v/>
      </c>
    </row>
    <row r="131" spans="1:15" ht="20" customHeight="1">
      <c r="A131" s="22" t="str">
        <f t="shared" si="10"/>
        <v/>
      </c>
      <c r="B131" s="23" t="str">
        <f>IF($E131="","",125)</f>
        <v/>
      </c>
      <c r="C131" s="24" t="str">
        <f t="shared" si="17"/>
        <v/>
      </c>
      <c r="D131" s="23" t="str">
        <f t="shared" si="18"/>
        <v/>
      </c>
      <c r="E131" s="25" t="str">
        <f t="shared" si="19"/>
        <v/>
      </c>
      <c r="F131" s="25" t="str">
        <f>IF($E131="","",ROUND(MIN(Comparison!$B$5,MAX(0,$E131+$H131)),2))</f>
        <v/>
      </c>
      <c r="G131" s="25" t="str">
        <f>IF($E131="","",ROUND(MIN(Inputs!$B$10,MAX(0,$E131+$H131-$F131)),2))</f>
        <v/>
      </c>
      <c r="H131" s="25" t="str">
        <f>IF($E131="","",ROUND(IF(Inputs!$B$12="Daily Simple Interest",$E131*Inputs!$B$6/Inputs!$B$17*$D131,$E131*Inputs!$B$6/Inputs!$B$18),2))</f>
        <v/>
      </c>
      <c r="I131" s="25" t="str">
        <f t="shared" si="11"/>
        <v/>
      </c>
      <c r="J131" s="25" t="str">
        <f>IF($E131="","",IF($F131+$G131&gt;0,Inputs!$B$11,0))</f>
        <v/>
      </c>
      <c r="K131" s="25" t="str">
        <f t="shared" si="12"/>
        <v/>
      </c>
      <c r="L131" s="25" t="str">
        <f t="shared" si="13"/>
        <v/>
      </c>
      <c r="M131" s="25" t="str">
        <f t="shared" si="14"/>
        <v/>
      </c>
      <c r="N131" s="84" t="str">
        <f t="shared" si="15"/>
        <v/>
      </c>
      <c r="O131" s="23" t="str">
        <f t="shared" si="16"/>
        <v/>
      </c>
    </row>
    <row r="132" spans="1:15" ht="20" customHeight="1">
      <c r="A132" s="22" t="str">
        <f t="shared" si="10"/>
        <v/>
      </c>
      <c r="B132" s="23" t="str">
        <f>IF($E132="","",126)</f>
        <v/>
      </c>
      <c r="C132" s="24" t="str">
        <f t="shared" si="17"/>
        <v/>
      </c>
      <c r="D132" s="23" t="str">
        <f t="shared" si="18"/>
        <v/>
      </c>
      <c r="E132" s="25" t="str">
        <f t="shared" si="19"/>
        <v/>
      </c>
      <c r="F132" s="25" t="str">
        <f>IF($E132="","",ROUND(MIN(Comparison!$B$5,MAX(0,$E132+$H132)),2))</f>
        <v/>
      </c>
      <c r="G132" s="25" t="str">
        <f>IF($E132="","",ROUND(MIN(Inputs!$B$10,MAX(0,$E132+$H132-$F132)),2))</f>
        <v/>
      </c>
      <c r="H132" s="25" t="str">
        <f>IF($E132="","",ROUND(IF(Inputs!$B$12="Daily Simple Interest",$E132*Inputs!$B$6/Inputs!$B$17*$D132,$E132*Inputs!$B$6/Inputs!$B$18),2))</f>
        <v/>
      </c>
      <c r="I132" s="25" t="str">
        <f t="shared" si="11"/>
        <v/>
      </c>
      <c r="J132" s="25" t="str">
        <f>IF($E132="","",IF($F132+$G132&gt;0,Inputs!$B$11,0))</f>
        <v/>
      </c>
      <c r="K132" s="25" t="str">
        <f t="shared" si="12"/>
        <v/>
      </c>
      <c r="L132" s="25" t="str">
        <f t="shared" si="13"/>
        <v/>
      </c>
      <c r="M132" s="25" t="str">
        <f t="shared" si="14"/>
        <v/>
      </c>
      <c r="N132" s="84" t="str">
        <f t="shared" si="15"/>
        <v/>
      </c>
      <c r="O132" s="23" t="str">
        <f t="shared" si="16"/>
        <v/>
      </c>
    </row>
    <row r="133" spans="1:15" ht="20" customHeight="1">
      <c r="A133" s="22" t="str">
        <f t="shared" si="10"/>
        <v/>
      </c>
      <c r="B133" s="23" t="str">
        <f>IF($E133="","",127)</f>
        <v/>
      </c>
      <c r="C133" s="24" t="str">
        <f t="shared" si="17"/>
        <v/>
      </c>
      <c r="D133" s="23" t="str">
        <f t="shared" si="18"/>
        <v/>
      </c>
      <c r="E133" s="25" t="str">
        <f t="shared" si="19"/>
        <v/>
      </c>
      <c r="F133" s="25" t="str">
        <f>IF($E133="","",ROUND(MIN(Comparison!$B$5,MAX(0,$E133+$H133)),2))</f>
        <v/>
      </c>
      <c r="G133" s="25" t="str">
        <f>IF($E133="","",ROUND(MIN(Inputs!$B$10,MAX(0,$E133+$H133-$F133)),2))</f>
        <v/>
      </c>
      <c r="H133" s="25" t="str">
        <f>IF($E133="","",ROUND(IF(Inputs!$B$12="Daily Simple Interest",$E133*Inputs!$B$6/Inputs!$B$17*$D133,$E133*Inputs!$B$6/Inputs!$B$18),2))</f>
        <v/>
      </c>
      <c r="I133" s="25" t="str">
        <f t="shared" si="11"/>
        <v/>
      </c>
      <c r="J133" s="25" t="str">
        <f>IF($E133="","",IF($F133+$G133&gt;0,Inputs!$B$11,0))</f>
        <v/>
      </c>
      <c r="K133" s="25" t="str">
        <f t="shared" si="12"/>
        <v/>
      </c>
      <c r="L133" s="25" t="str">
        <f t="shared" si="13"/>
        <v/>
      </c>
      <c r="M133" s="25" t="str">
        <f t="shared" si="14"/>
        <v/>
      </c>
      <c r="N133" s="84" t="str">
        <f t="shared" si="15"/>
        <v/>
      </c>
      <c r="O133" s="23" t="str">
        <f t="shared" si="16"/>
        <v/>
      </c>
    </row>
    <row r="134" spans="1:15" ht="20" customHeight="1">
      <c r="A134" s="22" t="str">
        <f t="shared" si="10"/>
        <v/>
      </c>
      <c r="B134" s="23" t="str">
        <f>IF($E134="","",128)</f>
        <v/>
      </c>
      <c r="C134" s="24" t="str">
        <f t="shared" si="17"/>
        <v/>
      </c>
      <c r="D134" s="23" t="str">
        <f t="shared" si="18"/>
        <v/>
      </c>
      <c r="E134" s="25" t="str">
        <f t="shared" si="19"/>
        <v/>
      </c>
      <c r="F134" s="25" t="str">
        <f>IF($E134="","",ROUND(MIN(Comparison!$B$5,MAX(0,$E134+$H134)),2))</f>
        <v/>
      </c>
      <c r="G134" s="25" t="str">
        <f>IF($E134="","",ROUND(MIN(Inputs!$B$10,MAX(0,$E134+$H134-$F134)),2))</f>
        <v/>
      </c>
      <c r="H134" s="25" t="str">
        <f>IF($E134="","",ROUND(IF(Inputs!$B$12="Daily Simple Interest",$E134*Inputs!$B$6/Inputs!$B$17*$D134,$E134*Inputs!$B$6/Inputs!$B$18),2))</f>
        <v/>
      </c>
      <c r="I134" s="25" t="str">
        <f t="shared" si="11"/>
        <v/>
      </c>
      <c r="J134" s="25" t="str">
        <f>IF($E134="","",IF($F134+$G134&gt;0,Inputs!$B$11,0))</f>
        <v/>
      </c>
      <c r="K134" s="25" t="str">
        <f t="shared" si="12"/>
        <v/>
      </c>
      <c r="L134" s="25" t="str">
        <f t="shared" si="13"/>
        <v/>
      </c>
      <c r="M134" s="25" t="str">
        <f t="shared" si="14"/>
        <v/>
      </c>
      <c r="N134" s="84" t="str">
        <f t="shared" si="15"/>
        <v/>
      </c>
      <c r="O134" s="23" t="str">
        <f t="shared" si="16"/>
        <v/>
      </c>
    </row>
    <row r="135" spans="1:15" ht="20" customHeight="1">
      <c r="A135" s="22" t="str">
        <f t="shared" ref="A135:A198" si="20">IF($E135="","","Monthly")</f>
        <v/>
      </c>
      <c r="B135" s="23" t="str">
        <f>IF($E135="","",129)</f>
        <v/>
      </c>
      <c r="C135" s="24" t="str">
        <f t="shared" si="17"/>
        <v/>
      </c>
      <c r="D135" s="23" t="str">
        <f t="shared" si="18"/>
        <v/>
      </c>
      <c r="E135" s="25" t="str">
        <f t="shared" si="19"/>
        <v/>
      </c>
      <c r="F135" s="25" t="str">
        <f>IF($E135="","",ROUND(MIN(Comparison!$B$5,MAX(0,$E135+$H135)),2))</f>
        <v/>
      </c>
      <c r="G135" s="25" t="str">
        <f>IF($E135="","",ROUND(MIN(Inputs!$B$10,MAX(0,$E135+$H135-$F135)),2))</f>
        <v/>
      </c>
      <c r="H135" s="25" t="str">
        <f>IF($E135="","",ROUND(IF(Inputs!$B$12="Daily Simple Interest",$E135*Inputs!$B$6/Inputs!$B$17*$D135,$E135*Inputs!$B$6/Inputs!$B$18),2))</f>
        <v/>
      </c>
      <c r="I135" s="25" t="str">
        <f t="shared" ref="I135:I198" si="21">IF($E135="","",ROUND($F135+$G135-$H135,2))</f>
        <v/>
      </c>
      <c r="J135" s="25" t="str">
        <f>IF($E135="","",IF($F135+$G135&gt;0,Inputs!$B$11,0))</f>
        <v/>
      </c>
      <c r="K135" s="25" t="str">
        <f t="shared" ref="K135:K198" si="22">IF($E135="","",ROUND(MAX(0,$E135-$I135),2))</f>
        <v/>
      </c>
      <c r="L135" s="25" t="str">
        <f t="shared" ref="L135:L198" si="23">IF($E135="","",$F135+$G135)</f>
        <v/>
      </c>
      <c r="M135" s="25" t="str">
        <f t="shared" ref="M135:M198" si="24">IF($E135="","",0)</f>
        <v/>
      </c>
      <c r="N135" s="84" t="str">
        <f t="shared" ref="N135:N198" si="25">IF($E135="","",IF($K135&lt;=0.005,"PAID OFF","ACTIVE"))</f>
        <v/>
      </c>
      <c r="O135" s="23" t="str">
        <f t="shared" ref="O135:O198" si="26">IF($E135="","",IF($F135+$G135&gt;0,1,0))</f>
        <v/>
      </c>
    </row>
    <row r="136" spans="1:15" ht="20" customHeight="1">
      <c r="A136" s="22" t="str">
        <f t="shared" si="20"/>
        <v/>
      </c>
      <c r="B136" s="23" t="str">
        <f>IF($E136="","",130)</f>
        <v/>
      </c>
      <c r="C136" s="24" t="str">
        <f t="shared" ref="C136:C199" si="27">IF($E136="","",EDATE($C135,1))</f>
        <v/>
      </c>
      <c r="D136" s="23" t="str">
        <f t="shared" ref="D136:D199" si="28">IF($E136="","",$C136-$C135)</f>
        <v/>
      </c>
      <c r="E136" s="25" t="str">
        <f t="shared" ref="E136:E199" si="29">IF($K135&gt;0.005,$K135,"")</f>
        <v/>
      </c>
      <c r="F136" s="25" t="str">
        <f>IF($E136="","",ROUND(MIN(Comparison!$B$5,MAX(0,$E136+$H136)),2))</f>
        <v/>
      </c>
      <c r="G136" s="25" t="str">
        <f>IF($E136="","",ROUND(MIN(Inputs!$B$10,MAX(0,$E136+$H136-$F136)),2))</f>
        <v/>
      </c>
      <c r="H136" s="25" t="str">
        <f>IF($E136="","",ROUND(IF(Inputs!$B$12="Daily Simple Interest",$E136*Inputs!$B$6/Inputs!$B$17*$D136,$E136*Inputs!$B$6/Inputs!$B$18),2))</f>
        <v/>
      </c>
      <c r="I136" s="25" t="str">
        <f t="shared" si="21"/>
        <v/>
      </c>
      <c r="J136" s="25" t="str">
        <f>IF($E136="","",IF($F136+$G136&gt;0,Inputs!$B$11,0))</f>
        <v/>
      </c>
      <c r="K136" s="25" t="str">
        <f t="shared" si="22"/>
        <v/>
      </c>
      <c r="L136" s="25" t="str">
        <f t="shared" si="23"/>
        <v/>
      </c>
      <c r="M136" s="25" t="str">
        <f t="shared" si="24"/>
        <v/>
      </c>
      <c r="N136" s="84" t="str">
        <f t="shared" si="25"/>
        <v/>
      </c>
      <c r="O136" s="23" t="str">
        <f t="shared" si="26"/>
        <v/>
      </c>
    </row>
    <row r="137" spans="1:15" ht="20" customHeight="1">
      <c r="A137" s="22" t="str">
        <f t="shared" si="20"/>
        <v/>
      </c>
      <c r="B137" s="23" t="str">
        <f>IF($E137="","",131)</f>
        <v/>
      </c>
      <c r="C137" s="24" t="str">
        <f t="shared" si="27"/>
        <v/>
      </c>
      <c r="D137" s="23" t="str">
        <f t="shared" si="28"/>
        <v/>
      </c>
      <c r="E137" s="25" t="str">
        <f t="shared" si="29"/>
        <v/>
      </c>
      <c r="F137" s="25" t="str">
        <f>IF($E137="","",ROUND(MIN(Comparison!$B$5,MAX(0,$E137+$H137)),2))</f>
        <v/>
      </c>
      <c r="G137" s="25" t="str">
        <f>IF($E137="","",ROUND(MIN(Inputs!$B$10,MAX(0,$E137+$H137-$F137)),2))</f>
        <v/>
      </c>
      <c r="H137" s="25" t="str">
        <f>IF($E137="","",ROUND(IF(Inputs!$B$12="Daily Simple Interest",$E137*Inputs!$B$6/Inputs!$B$17*$D137,$E137*Inputs!$B$6/Inputs!$B$18),2))</f>
        <v/>
      </c>
      <c r="I137" s="25" t="str">
        <f t="shared" si="21"/>
        <v/>
      </c>
      <c r="J137" s="25" t="str">
        <f>IF($E137="","",IF($F137+$G137&gt;0,Inputs!$B$11,0))</f>
        <v/>
      </c>
      <c r="K137" s="25" t="str">
        <f t="shared" si="22"/>
        <v/>
      </c>
      <c r="L137" s="25" t="str">
        <f t="shared" si="23"/>
        <v/>
      </c>
      <c r="M137" s="25" t="str">
        <f t="shared" si="24"/>
        <v/>
      </c>
      <c r="N137" s="84" t="str">
        <f t="shared" si="25"/>
        <v/>
      </c>
      <c r="O137" s="23" t="str">
        <f t="shared" si="26"/>
        <v/>
      </c>
    </row>
    <row r="138" spans="1:15" ht="20" customHeight="1">
      <c r="A138" s="22" t="str">
        <f t="shared" si="20"/>
        <v/>
      </c>
      <c r="B138" s="23" t="str">
        <f>IF($E138="","",132)</f>
        <v/>
      </c>
      <c r="C138" s="24" t="str">
        <f t="shared" si="27"/>
        <v/>
      </c>
      <c r="D138" s="23" t="str">
        <f t="shared" si="28"/>
        <v/>
      </c>
      <c r="E138" s="25" t="str">
        <f t="shared" si="29"/>
        <v/>
      </c>
      <c r="F138" s="25" t="str">
        <f>IF($E138="","",ROUND(MIN(Comparison!$B$5,MAX(0,$E138+$H138)),2))</f>
        <v/>
      </c>
      <c r="G138" s="25" t="str">
        <f>IF($E138="","",ROUND(MIN(Inputs!$B$10,MAX(0,$E138+$H138-$F138)),2))</f>
        <v/>
      </c>
      <c r="H138" s="25" t="str">
        <f>IF($E138="","",ROUND(IF(Inputs!$B$12="Daily Simple Interest",$E138*Inputs!$B$6/Inputs!$B$17*$D138,$E138*Inputs!$B$6/Inputs!$B$18),2))</f>
        <v/>
      </c>
      <c r="I138" s="25" t="str">
        <f t="shared" si="21"/>
        <v/>
      </c>
      <c r="J138" s="25" t="str">
        <f>IF($E138="","",IF($F138+$G138&gt;0,Inputs!$B$11,0))</f>
        <v/>
      </c>
      <c r="K138" s="25" t="str">
        <f t="shared" si="22"/>
        <v/>
      </c>
      <c r="L138" s="25" t="str">
        <f t="shared" si="23"/>
        <v/>
      </c>
      <c r="M138" s="25" t="str">
        <f t="shared" si="24"/>
        <v/>
      </c>
      <c r="N138" s="84" t="str">
        <f t="shared" si="25"/>
        <v/>
      </c>
      <c r="O138" s="23" t="str">
        <f t="shared" si="26"/>
        <v/>
      </c>
    </row>
    <row r="139" spans="1:15" ht="20" customHeight="1">
      <c r="A139" s="22" t="str">
        <f t="shared" si="20"/>
        <v/>
      </c>
      <c r="B139" s="23" t="str">
        <f>IF($E139="","",133)</f>
        <v/>
      </c>
      <c r="C139" s="24" t="str">
        <f t="shared" si="27"/>
        <v/>
      </c>
      <c r="D139" s="23" t="str">
        <f t="shared" si="28"/>
        <v/>
      </c>
      <c r="E139" s="25" t="str">
        <f t="shared" si="29"/>
        <v/>
      </c>
      <c r="F139" s="25" t="str">
        <f>IF($E139="","",ROUND(MIN(Comparison!$B$5,MAX(0,$E139+$H139)),2))</f>
        <v/>
      </c>
      <c r="G139" s="25" t="str">
        <f>IF($E139="","",ROUND(MIN(Inputs!$B$10,MAX(0,$E139+$H139-$F139)),2))</f>
        <v/>
      </c>
      <c r="H139" s="25" t="str">
        <f>IF($E139="","",ROUND(IF(Inputs!$B$12="Daily Simple Interest",$E139*Inputs!$B$6/Inputs!$B$17*$D139,$E139*Inputs!$B$6/Inputs!$B$18),2))</f>
        <v/>
      </c>
      <c r="I139" s="25" t="str">
        <f t="shared" si="21"/>
        <v/>
      </c>
      <c r="J139" s="25" t="str">
        <f>IF($E139="","",IF($F139+$G139&gt;0,Inputs!$B$11,0))</f>
        <v/>
      </c>
      <c r="K139" s="25" t="str">
        <f t="shared" si="22"/>
        <v/>
      </c>
      <c r="L139" s="25" t="str">
        <f t="shared" si="23"/>
        <v/>
      </c>
      <c r="M139" s="25" t="str">
        <f t="shared" si="24"/>
        <v/>
      </c>
      <c r="N139" s="84" t="str">
        <f t="shared" si="25"/>
        <v/>
      </c>
      <c r="O139" s="23" t="str">
        <f t="shared" si="26"/>
        <v/>
      </c>
    </row>
    <row r="140" spans="1:15" ht="20" customHeight="1">
      <c r="A140" s="22" t="str">
        <f t="shared" si="20"/>
        <v/>
      </c>
      <c r="B140" s="23" t="str">
        <f>IF($E140="","",134)</f>
        <v/>
      </c>
      <c r="C140" s="24" t="str">
        <f t="shared" si="27"/>
        <v/>
      </c>
      <c r="D140" s="23" t="str">
        <f t="shared" si="28"/>
        <v/>
      </c>
      <c r="E140" s="25" t="str">
        <f t="shared" si="29"/>
        <v/>
      </c>
      <c r="F140" s="25" t="str">
        <f>IF($E140="","",ROUND(MIN(Comparison!$B$5,MAX(0,$E140+$H140)),2))</f>
        <v/>
      </c>
      <c r="G140" s="25" t="str">
        <f>IF($E140="","",ROUND(MIN(Inputs!$B$10,MAX(0,$E140+$H140-$F140)),2))</f>
        <v/>
      </c>
      <c r="H140" s="25" t="str">
        <f>IF($E140="","",ROUND(IF(Inputs!$B$12="Daily Simple Interest",$E140*Inputs!$B$6/Inputs!$B$17*$D140,$E140*Inputs!$B$6/Inputs!$B$18),2))</f>
        <v/>
      </c>
      <c r="I140" s="25" t="str">
        <f t="shared" si="21"/>
        <v/>
      </c>
      <c r="J140" s="25" t="str">
        <f>IF($E140="","",IF($F140+$G140&gt;0,Inputs!$B$11,0))</f>
        <v/>
      </c>
      <c r="K140" s="25" t="str">
        <f t="shared" si="22"/>
        <v/>
      </c>
      <c r="L140" s="25" t="str">
        <f t="shared" si="23"/>
        <v/>
      </c>
      <c r="M140" s="25" t="str">
        <f t="shared" si="24"/>
        <v/>
      </c>
      <c r="N140" s="84" t="str">
        <f t="shared" si="25"/>
        <v/>
      </c>
      <c r="O140" s="23" t="str">
        <f t="shared" si="26"/>
        <v/>
      </c>
    </row>
    <row r="141" spans="1:15" ht="20" customHeight="1">
      <c r="A141" s="22" t="str">
        <f t="shared" si="20"/>
        <v/>
      </c>
      <c r="B141" s="23" t="str">
        <f>IF($E141="","",135)</f>
        <v/>
      </c>
      <c r="C141" s="24" t="str">
        <f t="shared" si="27"/>
        <v/>
      </c>
      <c r="D141" s="23" t="str">
        <f t="shared" si="28"/>
        <v/>
      </c>
      <c r="E141" s="25" t="str">
        <f t="shared" si="29"/>
        <v/>
      </c>
      <c r="F141" s="25" t="str">
        <f>IF($E141="","",ROUND(MIN(Comparison!$B$5,MAX(0,$E141+$H141)),2))</f>
        <v/>
      </c>
      <c r="G141" s="25" t="str">
        <f>IF($E141="","",ROUND(MIN(Inputs!$B$10,MAX(0,$E141+$H141-$F141)),2))</f>
        <v/>
      </c>
      <c r="H141" s="25" t="str">
        <f>IF($E141="","",ROUND(IF(Inputs!$B$12="Daily Simple Interest",$E141*Inputs!$B$6/Inputs!$B$17*$D141,$E141*Inputs!$B$6/Inputs!$B$18),2))</f>
        <v/>
      </c>
      <c r="I141" s="25" t="str">
        <f t="shared" si="21"/>
        <v/>
      </c>
      <c r="J141" s="25" t="str">
        <f>IF($E141="","",IF($F141+$G141&gt;0,Inputs!$B$11,0))</f>
        <v/>
      </c>
      <c r="K141" s="25" t="str">
        <f t="shared" si="22"/>
        <v/>
      </c>
      <c r="L141" s="25" t="str">
        <f t="shared" si="23"/>
        <v/>
      </c>
      <c r="M141" s="25" t="str">
        <f t="shared" si="24"/>
        <v/>
      </c>
      <c r="N141" s="84" t="str">
        <f t="shared" si="25"/>
        <v/>
      </c>
      <c r="O141" s="23" t="str">
        <f t="shared" si="26"/>
        <v/>
      </c>
    </row>
    <row r="142" spans="1:15" ht="20" customHeight="1">
      <c r="A142" s="22" t="str">
        <f t="shared" si="20"/>
        <v/>
      </c>
      <c r="B142" s="23" t="str">
        <f>IF($E142="","",136)</f>
        <v/>
      </c>
      <c r="C142" s="24" t="str">
        <f t="shared" si="27"/>
        <v/>
      </c>
      <c r="D142" s="23" t="str">
        <f t="shared" si="28"/>
        <v/>
      </c>
      <c r="E142" s="25" t="str">
        <f t="shared" si="29"/>
        <v/>
      </c>
      <c r="F142" s="25" t="str">
        <f>IF($E142="","",ROUND(MIN(Comparison!$B$5,MAX(0,$E142+$H142)),2))</f>
        <v/>
      </c>
      <c r="G142" s="25" t="str">
        <f>IF($E142="","",ROUND(MIN(Inputs!$B$10,MAX(0,$E142+$H142-$F142)),2))</f>
        <v/>
      </c>
      <c r="H142" s="25" t="str">
        <f>IF($E142="","",ROUND(IF(Inputs!$B$12="Daily Simple Interest",$E142*Inputs!$B$6/Inputs!$B$17*$D142,$E142*Inputs!$B$6/Inputs!$B$18),2))</f>
        <v/>
      </c>
      <c r="I142" s="25" t="str">
        <f t="shared" si="21"/>
        <v/>
      </c>
      <c r="J142" s="25" t="str">
        <f>IF($E142="","",IF($F142+$G142&gt;0,Inputs!$B$11,0))</f>
        <v/>
      </c>
      <c r="K142" s="25" t="str">
        <f t="shared" si="22"/>
        <v/>
      </c>
      <c r="L142" s="25" t="str">
        <f t="shared" si="23"/>
        <v/>
      </c>
      <c r="M142" s="25" t="str">
        <f t="shared" si="24"/>
        <v/>
      </c>
      <c r="N142" s="84" t="str">
        <f t="shared" si="25"/>
        <v/>
      </c>
      <c r="O142" s="23" t="str">
        <f t="shared" si="26"/>
        <v/>
      </c>
    </row>
    <row r="143" spans="1:15" ht="20" customHeight="1">
      <c r="A143" s="22" t="str">
        <f t="shared" si="20"/>
        <v/>
      </c>
      <c r="B143" s="23" t="str">
        <f>IF($E143="","",137)</f>
        <v/>
      </c>
      <c r="C143" s="24" t="str">
        <f t="shared" si="27"/>
        <v/>
      </c>
      <c r="D143" s="23" t="str">
        <f t="shared" si="28"/>
        <v/>
      </c>
      <c r="E143" s="25" t="str">
        <f t="shared" si="29"/>
        <v/>
      </c>
      <c r="F143" s="25" t="str">
        <f>IF($E143="","",ROUND(MIN(Comparison!$B$5,MAX(0,$E143+$H143)),2))</f>
        <v/>
      </c>
      <c r="G143" s="25" t="str">
        <f>IF($E143="","",ROUND(MIN(Inputs!$B$10,MAX(0,$E143+$H143-$F143)),2))</f>
        <v/>
      </c>
      <c r="H143" s="25" t="str">
        <f>IF($E143="","",ROUND(IF(Inputs!$B$12="Daily Simple Interest",$E143*Inputs!$B$6/Inputs!$B$17*$D143,$E143*Inputs!$B$6/Inputs!$B$18),2))</f>
        <v/>
      </c>
      <c r="I143" s="25" t="str">
        <f t="shared" si="21"/>
        <v/>
      </c>
      <c r="J143" s="25" t="str">
        <f>IF($E143="","",IF($F143+$G143&gt;0,Inputs!$B$11,0))</f>
        <v/>
      </c>
      <c r="K143" s="25" t="str">
        <f t="shared" si="22"/>
        <v/>
      </c>
      <c r="L143" s="25" t="str">
        <f t="shared" si="23"/>
        <v/>
      </c>
      <c r="M143" s="25" t="str">
        <f t="shared" si="24"/>
        <v/>
      </c>
      <c r="N143" s="84" t="str">
        <f t="shared" si="25"/>
        <v/>
      </c>
      <c r="O143" s="23" t="str">
        <f t="shared" si="26"/>
        <v/>
      </c>
    </row>
    <row r="144" spans="1:15" ht="20" customHeight="1">
      <c r="A144" s="22" t="str">
        <f t="shared" si="20"/>
        <v/>
      </c>
      <c r="B144" s="23" t="str">
        <f>IF($E144="","",138)</f>
        <v/>
      </c>
      <c r="C144" s="24" t="str">
        <f t="shared" si="27"/>
        <v/>
      </c>
      <c r="D144" s="23" t="str">
        <f t="shared" si="28"/>
        <v/>
      </c>
      <c r="E144" s="25" t="str">
        <f t="shared" si="29"/>
        <v/>
      </c>
      <c r="F144" s="25" t="str">
        <f>IF($E144="","",ROUND(MIN(Comparison!$B$5,MAX(0,$E144+$H144)),2))</f>
        <v/>
      </c>
      <c r="G144" s="25" t="str">
        <f>IF($E144="","",ROUND(MIN(Inputs!$B$10,MAX(0,$E144+$H144-$F144)),2))</f>
        <v/>
      </c>
      <c r="H144" s="25" t="str">
        <f>IF($E144="","",ROUND(IF(Inputs!$B$12="Daily Simple Interest",$E144*Inputs!$B$6/Inputs!$B$17*$D144,$E144*Inputs!$B$6/Inputs!$B$18),2))</f>
        <v/>
      </c>
      <c r="I144" s="25" t="str">
        <f t="shared" si="21"/>
        <v/>
      </c>
      <c r="J144" s="25" t="str">
        <f>IF($E144="","",IF($F144+$G144&gt;0,Inputs!$B$11,0))</f>
        <v/>
      </c>
      <c r="K144" s="25" t="str">
        <f t="shared" si="22"/>
        <v/>
      </c>
      <c r="L144" s="25" t="str">
        <f t="shared" si="23"/>
        <v/>
      </c>
      <c r="M144" s="25" t="str">
        <f t="shared" si="24"/>
        <v/>
      </c>
      <c r="N144" s="84" t="str">
        <f t="shared" si="25"/>
        <v/>
      </c>
      <c r="O144" s="23" t="str">
        <f t="shared" si="26"/>
        <v/>
      </c>
    </row>
    <row r="145" spans="1:15" ht="20" customHeight="1">
      <c r="A145" s="22" t="str">
        <f t="shared" si="20"/>
        <v/>
      </c>
      <c r="B145" s="23" t="str">
        <f>IF($E145="","",139)</f>
        <v/>
      </c>
      <c r="C145" s="24" t="str">
        <f t="shared" si="27"/>
        <v/>
      </c>
      <c r="D145" s="23" t="str">
        <f t="shared" si="28"/>
        <v/>
      </c>
      <c r="E145" s="25" t="str">
        <f t="shared" si="29"/>
        <v/>
      </c>
      <c r="F145" s="25" t="str">
        <f>IF($E145="","",ROUND(MIN(Comparison!$B$5,MAX(0,$E145+$H145)),2))</f>
        <v/>
      </c>
      <c r="G145" s="25" t="str">
        <f>IF($E145="","",ROUND(MIN(Inputs!$B$10,MAX(0,$E145+$H145-$F145)),2))</f>
        <v/>
      </c>
      <c r="H145" s="25" t="str">
        <f>IF($E145="","",ROUND(IF(Inputs!$B$12="Daily Simple Interest",$E145*Inputs!$B$6/Inputs!$B$17*$D145,$E145*Inputs!$B$6/Inputs!$B$18),2))</f>
        <v/>
      </c>
      <c r="I145" s="25" t="str">
        <f t="shared" si="21"/>
        <v/>
      </c>
      <c r="J145" s="25" t="str">
        <f>IF($E145="","",IF($F145+$G145&gt;0,Inputs!$B$11,0))</f>
        <v/>
      </c>
      <c r="K145" s="25" t="str">
        <f t="shared" si="22"/>
        <v/>
      </c>
      <c r="L145" s="25" t="str">
        <f t="shared" si="23"/>
        <v/>
      </c>
      <c r="M145" s="25" t="str">
        <f t="shared" si="24"/>
        <v/>
      </c>
      <c r="N145" s="84" t="str">
        <f t="shared" si="25"/>
        <v/>
      </c>
      <c r="O145" s="23" t="str">
        <f t="shared" si="26"/>
        <v/>
      </c>
    </row>
    <row r="146" spans="1:15" ht="20" customHeight="1">
      <c r="A146" s="22" t="str">
        <f t="shared" si="20"/>
        <v/>
      </c>
      <c r="B146" s="23" t="str">
        <f>IF($E146="","",140)</f>
        <v/>
      </c>
      <c r="C146" s="24" t="str">
        <f t="shared" si="27"/>
        <v/>
      </c>
      <c r="D146" s="23" t="str">
        <f t="shared" si="28"/>
        <v/>
      </c>
      <c r="E146" s="25" t="str">
        <f t="shared" si="29"/>
        <v/>
      </c>
      <c r="F146" s="25" t="str">
        <f>IF($E146="","",ROUND(MIN(Comparison!$B$5,MAX(0,$E146+$H146)),2))</f>
        <v/>
      </c>
      <c r="G146" s="25" t="str">
        <f>IF($E146="","",ROUND(MIN(Inputs!$B$10,MAX(0,$E146+$H146-$F146)),2))</f>
        <v/>
      </c>
      <c r="H146" s="25" t="str">
        <f>IF($E146="","",ROUND(IF(Inputs!$B$12="Daily Simple Interest",$E146*Inputs!$B$6/Inputs!$B$17*$D146,$E146*Inputs!$B$6/Inputs!$B$18),2))</f>
        <v/>
      </c>
      <c r="I146" s="25" t="str">
        <f t="shared" si="21"/>
        <v/>
      </c>
      <c r="J146" s="25" t="str">
        <f>IF($E146="","",IF($F146+$G146&gt;0,Inputs!$B$11,0))</f>
        <v/>
      </c>
      <c r="K146" s="25" t="str">
        <f t="shared" si="22"/>
        <v/>
      </c>
      <c r="L146" s="25" t="str">
        <f t="shared" si="23"/>
        <v/>
      </c>
      <c r="M146" s="25" t="str">
        <f t="shared" si="24"/>
        <v/>
      </c>
      <c r="N146" s="84" t="str">
        <f t="shared" si="25"/>
        <v/>
      </c>
      <c r="O146" s="23" t="str">
        <f t="shared" si="26"/>
        <v/>
      </c>
    </row>
    <row r="147" spans="1:15" ht="20" customHeight="1">
      <c r="A147" s="22" t="str">
        <f t="shared" si="20"/>
        <v/>
      </c>
      <c r="B147" s="23" t="str">
        <f>IF($E147="","",141)</f>
        <v/>
      </c>
      <c r="C147" s="24" t="str">
        <f t="shared" si="27"/>
        <v/>
      </c>
      <c r="D147" s="23" t="str">
        <f t="shared" si="28"/>
        <v/>
      </c>
      <c r="E147" s="25" t="str">
        <f t="shared" si="29"/>
        <v/>
      </c>
      <c r="F147" s="25" t="str">
        <f>IF($E147="","",ROUND(MIN(Comparison!$B$5,MAX(0,$E147+$H147)),2))</f>
        <v/>
      </c>
      <c r="G147" s="25" t="str">
        <f>IF($E147="","",ROUND(MIN(Inputs!$B$10,MAX(0,$E147+$H147-$F147)),2))</f>
        <v/>
      </c>
      <c r="H147" s="25" t="str">
        <f>IF($E147="","",ROUND(IF(Inputs!$B$12="Daily Simple Interest",$E147*Inputs!$B$6/Inputs!$B$17*$D147,$E147*Inputs!$B$6/Inputs!$B$18),2))</f>
        <v/>
      </c>
      <c r="I147" s="25" t="str">
        <f t="shared" si="21"/>
        <v/>
      </c>
      <c r="J147" s="25" t="str">
        <f>IF($E147="","",IF($F147+$G147&gt;0,Inputs!$B$11,0))</f>
        <v/>
      </c>
      <c r="K147" s="25" t="str">
        <f t="shared" si="22"/>
        <v/>
      </c>
      <c r="L147" s="25" t="str">
        <f t="shared" si="23"/>
        <v/>
      </c>
      <c r="M147" s="25" t="str">
        <f t="shared" si="24"/>
        <v/>
      </c>
      <c r="N147" s="84" t="str">
        <f t="shared" si="25"/>
        <v/>
      </c>
      <c r="O147" s="23" t="str">
        <f t="shared" si="26"/>
        <v/>
      </c>
    </row>
    <row r="148" spans="1:15" ht="20" customHeight="1">
      <c r="A148" s="22" t="str">
        <f t="shared" si="20"/>
        <v/>
      </c>
      <c r="B148" s="23" t="str">
        <f>IF($E148="","",142)</f>
        <v/>
      </c>
      <c r="C148" s="24" t="str">
        <f t="shared" si="27"/>
        <v/>
      </c>
      <c r="D148" s="23" t="str">
        <f t="shared" si="28"/>
        <v/>
      </c>
      <c r="E148" s="25" t="str">
        <f t="shared" si="29"/>
        <v/>
      </c>
      <c r="F148" s="25" t="str">
        <f>IF($E148="","",ROUND(MIN(Comparison!$B$5,MAX(0,$E148+$H148)),2))</f>
        <v/>
      </c>
      <c r="G148" s="25" t="str">
        <f>IF($E148="","",ROUND(MIN(Inputs!$B$10,MAX(0,$E148+$H148-$F148)),2))</f>
        <v/>
      </c>
      <c r="H148" s="25" t="str">
        <f>IF($E148="","",ROUND(IF(Inputs!$B$12="Daily Simple Interest",$E148*Inputs!$B$6/Inputs!$B$17*$D148,$E148*Inputs!$B$6/Inputs!$B$18),2))</f>
        <v/>
      </c>
      <c r="I148" s="25" t="str">
        <f t="shared" si="21"/>
        <v/>
      </c>
      <c r="J148" s="25" t="str">
        <f>IF($E148="","",IF($F148+$G148&gt;0,Inputs!$B$11,0))</f>
        <v/>
      </c>
      <c r="K148" s="25" t="str">
        <f t="shared" si="22"/>
        <v/>
      </c>
      <c r="L148" s="25" t="str">
        <f t="shared" si="23"/>
        <v/>
      </c>
      <c r="M148" s="25" t="str">
        <f t="shared" si="24"/>
        <v/>
      </c>
      <c r="N148" s="84" t="str">
        <f t="shared" si="25"/>
        <v/>
      </c>
      <c r="O148" s="23" t="str">
        <f t="shared" si="26"/>
        <v/>
      </c>
    </row>
    <row r="149" spans="1:15" ht="20" customHeight="1">
      <c r="A149" s="22" t="str">
        <f t="shared" si="20"/>
        <v/>
      </c>
      <c r="B149" s="23" t="str">
        <f>IF($E149="","",143)</f>
        <v/>
      </c>
      <c r="C149" s="24" t="str">
        <f t="shared" si="27"/>
        <v/>
      </c>
      <c r="D149" s="23" t="str">
        <f t="shared" si="28"/>
        <v/>
      </c>
      <c r="E149" s="25" t="str">
        <f t="shared" si="29"/>
        <v/>
      </c>
      <c r="F149" s="25" t="str">
        <f>IF($E149="","",ROUND(MIN(Comparison!$B$5,MAX(0,$E149+$H149)),2))</f>
        <v/>
      </c>
      <c r="G149" s="25" t="str">
        <f>IF($E149="","",ROUND(MIN(Inputs!$B$10,MAX(0,$E149+$H149-$F149)),2))</f>
        <v/>
      </c>
      <c r="H149" s="25" t="str">
        <f>IF($E149="","",ROUND(IF(Inputs!$B$12="Daily Simple Interest",$E149*Inputs!$B$6/Inputs!$B$17*$D149,$E149*Inputs!$B$6/Inputs!$B$18),2))</f>
        <v/>
      </c>
      <c r="I149" s="25" t="str">
        <f t="shared" si="21"/>
        <v/>
      </c>
      <c r="J149" s="25" t="str">
        <f>IF($E149="","",IF($F149+$G149&gt;0,Inputs!$B$11,0))</f>
        <v/>
      </c>
      <c r="K149" s="25" t="str">
        <f t="shared" si="22"/>
        <v/>
      </c>
      <c r="L149" s="25" t="str">
        <f t="shared" si="23"/>
        <v/>
      </c>
      <c r="M149" s="25" t="str">
        <f t="shared" si="24"/>
        <v/>
      </c>
      <c r="N149" s="84" t="str">
        <f t="shared" si="25"/>
        <v/>
      </c>
      <c r="O149" s="23" t="str">
        <f t="shared" si="26"/>
        <v/>
      </c>
    </row>
    <row r="150" spans="1:15" ht="20" customHeight="1">
      <c r="A150" s="22" t="str">
        <f t="shared" si="20"/>
        <v/>
      </c>
      <c r="B150" s="23" t="str">
        <f>IF($E150="","",144)</f>
        <v/>
      </c>
      <c r="C150" s="24" t="str">
        <f t="shared" si="27"/>
        <v/>
      </c>
      <c r="D150" s="23" t="str">
        <f t="shared" si="28"/>
        <v/>
      </c>
      <c r="E150" s="25" t="str">
        <f t="shared" si="29"/>
        <v/>
      </c>
      <c r="F150" s="25" t="str">
        <f>IF($E150="","",ROUND(MIN(Comparison!$B$5,MAX(0,$E150+$H150)),2))</f>
        <v/>
      </c>
      <c r="G150" s="25" t="str">
        <f>IF($E150="","",ROUND(MIN(Inputs!$B$10,MAX(0,$E150+$H150-$F150)),2))</f>
        <v/>
      </c>
      <c r="H150" s="25" t="str">
        <f>IF($E150="","",ROUND(IF(Inputs!$B$12="Daily Simple Interest",$E150*Inputs!$B$6/Inputs!$B$17*$D150,$E150*Inputs!$B$6/Inputs!$B$18),2))</f>
        <v/>
      </c>
      <c r="I150" s="25" t="str">
        <f t="shared" si="21"/>
        <v/>
      </c>
      <c r="J150" s="25" t="str">
        <f>IF($E150="","",IF($F150+$G150&gt;0,Inputs!$B$11,0))</f>
        <v/>
      </c>
      <c r="K150" s="25" t="str">
        <f t="shared" si="22"/>
        <v/>
      </c>
      <c r="L150" s="25" t="str">
        <f t="shared" si="23"/>
        <v/>
      </c>
      <c r="M150" s="25" t="str">
        <f t="shared" si="24"/>
        <v/>
      </c>
      <c r="N150" s="84" t="str">
        <f t="shared" si="25"/>
        <v/>
      </c>
      <c r="O150" s="23" t="str">
        <f t="shared" si="26"/>
        <v/>
      </c>
    </row>
    <row r="151" spans="1:15" ht="20" customHeight="1">
      <c r="A151" s="22" t="str">
        <f t="shared" si="20"/>
        <v/>
      </c>
      <c r="B151" s="23" t="str">
        <f>IF($E151="","",145)</f>
        <v/>
      </c>
      <c r="C151" s="24" t="str">
        <f t="shared" si="27"/>
        <v/>
      </c>
      <c r="D151" s="23" t="str">
        <f t="shared" si="28"/>
        <v/>
      </c>
      <c r="E151" s="25" t="str">
        <f t="shared" si="29"/>
        <v/>
      </c>
      <c r="F151" s="25" t="str">
        <f>IF($E151="","",ROUND(MIN(Comparison!$B$5,MAX(0,$E151+$H151)),2))</f>
        <v/>
      </c>
      <c r="G151" s="25" t="str">
        <f>IF($E151="","",ROUND(MIN(Inputs!$B$10,MAX(0,$E151+$H151-$F151)),2))</f>
        <v/>
      </c>
      <c r="H151" s="25" t="str">
        <f>IF($E151="","",ROUND(IF(Inputs!$B$12="Daily Simple Interest",$E151*Inputs!$B$6/Inputs!$B$17*$D151,$E151*Inputs!$B$6/Inputs!$B$18),2))</f>
        <v/>
      </c>
      <c r="I151" s="25" t="str">
        <f t="shared" si="21"/>
        <v/>
      </c>
      <c r="J151" s="25" t="str">
        <f>IF($E151="","",IF($F151+$G151&gt;0,Inputs!$B$11,0))</f>
        <v/>
      </c>
      <c r="K151" s="25" t="str">
        <f t="shared" si="22"/>
        <v/>
      </c>
      <c r="L151" s="25" t="str">
        <f t="shared" si="23"/>
        <v/>
      </c>
      <c r="M151" s="25" t="str">
        <f t="shared" si="24"/>
        <v/>
      </c>
      <c r="N151" s="84" t="str">
        <f t="shared" si="25"/>
        <v/>
      </c>
      <c r="O151" s="23" t="str">
        <f t="shared" si="26"/>
        <v/>
      </c>
    </row>
    <row r="152" spans="1:15" ht="20" customHeight="1">
      <c r="A152" s="22" t="str">
        <f t="shared" si="20"/>
        <v/>
      </c>
      <c r="B152" s="23" t="str">
        <f>IF($E152="","",146)</f>
        <v/>
      </c>
      <c r="C152" s="24" t="str">
        <f t="shared" si="27"/>
        <v/>
      </c>
      <c r="D152" s="23" t="str">
        <f t="shared" si="28"/>
        <v/>
      </c>
      <c r="E152" s="25" t="str">
        <f t="shared" si="29"/>
        <v/>
      </c>
      <c r="F152" s="25" t="str">
        <f>IF($E152="","",ROUND(MIN(Comparison!$B$5,MAX(0,$E152+$H152)),2))</f>
        <v/>
      </c>
      <c r="G152" s="25" t="str">
        <f>IF($E152="","",ROUND(MIN(Inputs!$B$10,MAX(0,$E152+$H152-$F152)),2))</f>
        <v/>
      </c>
      <c r="H152" s="25" t="str">
        <f>IF($E152="","",ROUND(IF(Inputs!$B$12="Daily Simple Interest",$E152*Inputs!$B$6/Inputs!$B$17*$D152,$E152*Inputs!$B$6/Inputs!$B$18),2))</f>
        <v/>
      </c>
      <c r="I152" s="25" t="str">
        <f t="shared" si="21"/>
        <v/>
      </c>
      <c r="J152" s="25" t="str">
        <f>IF($E152="","",IF($F152+$G152&gt;0,Inputs!$B$11,0))</f>
        <v/>
      </c>
      <c r="K152" s="25" t="str">
        <f t="shared" si="22"/>
        <v/>
      </c>
      <c r="L152" s="25" t="str">
        <f t="shared" si="23"/>
        <v/>
      </c>
      <c r="M152" s="25" t="str">
        <f t="shared" si="24"/>
        <v/>
      </c>
      <c r="N152" s="84" t="str">
        <f t="shared" si="25"/>
        <v/>
      </c>
      <c r="O152" s="23" t="str">
        <f t="shared" si="26"/>
        <v/>
      </c>
    </row>
    <row r="153" spans="1:15" ht="20" customHeight="1">
      <c r="A153" s="22" t="str">
        <f t="shared" si="20"/>
        <v/>
      </c>
      <c r="B153" s="23" t="str">
        <f>IF($E153="","",147)</f>
        <v/>
      </c>
      <c r="C153" s="24" t="str">
        <f t="shared" si="27"/>
        <v/>
      </c>
      <c r="D153" s="23" t="str">
        <f t="shared" si="28"/>
        <v/>
      </c>
      <c r="E153" s="25" t="str">
        <f t="shared" si="29"/>
        <v/>
      </c>
      <c r="F153" s="25" t="str">
        <f>IF($E153="","",ROUND(MIN(Comparison!$B$5,MAX(0,$E153+$H153)),2))</f>
        <v/>
      </c>
      <c r="G153" s="25" t="str">
        <f>IF($E153="","",ROUND(MIN(Inputs!$B$10,MAX(0,$E153+$H153-$F153)),2))</f>
        <v/>
      </c>
      <c r="H153" s="25" t="str">
        <f>IF($E153="","",ROUND(IF(Inputs!$B$12="Daily Simple Interest",$E153*Inputs!$B$6/Inputs!$B$17*$D153,$E153*Inputs!$B$6/Inputs!$B$18),2))</f>
        <v/>
      </c>
      <c r="I153" s="25" t="str">
        <f t="shared" si="21"/>
        <v/>
      </c>
      <c r="J153" s="25" t="str">
        <f>IF($E153="","",IF($F153+$G153&gt;0,Inputs!$B$11,0))</f>
        <v/>
      </c>
      <c r="K153" s="25" t="str">
        <f t="shared" si="22"/>
        <v/>
      </c>
      <c r="L153" s="25" t="str">
        <f t="shared" si="23"/>
        <v/>
      </c>
      <c r="M153" s="25" t="str">
        <f t="shared" si="24"/>
        <v/>
      </c>
      <c r="N153" s="84" t="str">
        <f t="shared" si="25"/>
        <v/>
      </c>
      <c r="O153" s="23" t="str">
        <f t="shared" si="26"/>
        <v/>
      </c>
    </row>
    <row r="154" spans="1:15" ht="20" customHeight="1">
      <c r="A154" s="22" t="str">
        <f t="shared" si="20"/>
        <v/>
      </c>
      <c r="B154" s="23" t="str">
        <f>IF($E154="","",148)</f>
        <v/>
      </c>
      <c r="C154" s="24" t="str">
        <f t="shared" si="27"/>
        <v/>
      </c>
      <c r="D154" s="23" t="str">
        <f t="shared" si="28"/>
        <v/>
      </c>
      <c r="E154" s="25" t="str">
        <f t="shared" si="29"/>
        <v/>
      </c>
      <c r="F154" s="25" t="str">
        <f>IF($E154="","",ROUND(MIN(Comparison!$B$5,MAX(0,$E154+$H154)),2))</f>
        <v/>
      </c>
      <c r="G154" s="25" t="str">
        <f>IF($E154="","",ROUND(MIN(Inputs!$B$10,MAX(0,$E154+$H154-$F154)),2))</f>
        <v/>
      </c>
      <c r="H154" s="25" t="str">
        <f>IF($E154="","",ROUND(IF(Inputs!$B$12="Daily Simple Interest",$E154*Inputs!$B$6/Inputs!$B$17*$D154,$E154*Inputs!$B$6/Inputs!$B$18),2))</f>
        <v/>
      </c>
      <c r="I154" s="25" t="str">
        <f t="shared" si="21"/>
        <v/>
      </c>
      <c r="J154" s="25" t="str">
        <f>IF($E154="","",IF($F154+$G154&gt;0,Inputs!$B$11,0))</f>
        <v/>
      </c>
      <c r="K154" s="25" t="str">
        <f t="shared" si="22"/>
        <v/>
      </c>
      <c r="L154" s="25" t="str">
        <f t="shared" si="23"/>
        <v/>
      </c>
      <c r="M154" s="25" t="str">
        <f t="shared" si="24"/>
        <v/>
      </c>
      <c r="N154" s="84" t="str">
        <f t="shared" si="25"/>
        <v/>
      </c>
      <c r="O154" s="23" t="str">
        <f t="shared" si="26"/>
        <v/>
      </c>
    </row>
    <row r="155" spans="1:15" ht="20" customHeight="1">
      <c r="A155" s="22" t="str">
        <f t="shared" si="20"/>
        <v/>
      </c>
      <c r="B155" s="23" t="str">
        <f>IF($E155="","",149)</f>
        <v/>
      </c>
      <c r="C155" s="24" t="str">
        <f t="shared" si="27"/>
        <v/>
      </c>
      <c r="D155" s="23" t="str">
        <f t="shared" si="28"/>
        <v/>
      </c>
      <c r="E155" s="25" t="str">
        <f t="shared" si="29"/>
        <v/>
      </c>
      <c r="F155" s="25" t="str">
        <f>IF($E155="","",ROUND(MIN(Comparison!$B$5,MAX(0,$E155+$H155)),2))</f>
        <v/>
      </c>
      <c r="G155" s="25" t="str">
        <f>IF($E155="","",ROUND(MIN(Inputs!$B$10,MAX(0,$E155+$H155-$F155)),2))</f>
        <v/>
      </c>
      <c r="H155" s="25" t="str">
        <f>IF($E155="","",ROUND(IF(Inputs!$B$12="Daily Simple Interest",$E155*Inputs!$B$6/Inputs!$B$17*$D155,$E155*Inputs!$B$6/Inputs!$B$18),2))</f>
        <v/>
      </c>
      <c r="I155" s="25" t="str">
        <f t="shared" si="21"/>
        <v/>
      </c>
      <c r="J155" s="25" t="str">
        <f>IF($E155="","",IF($F155+$G155&gt;0,Inputs!$B$11,0))</f>
        <v/>
      </c>
      <c r="K155" s="25" t="str">
        <f t="shared" si="22"/>
        <v/>
      </c>
      <c r="L155" s="25" t="str">
        <f t="shared" si="23"/>
        <v/>
      </c>
      <c r="M155" s="25" t="str">
        <f t="shared" si="24"/>
        <v/>
      </c>
      <c r="N155" s="84" t="str">
        <f t="shared" si="25"/>
        <v/>
      </c>
      <c r="O155" s="23" t="str">
        <f t="shared" si="26"/>
        <v/>
      </c>
    </row>
    <row r="156" spans="1:15" ht="20" customHeight="1">
      <c r="A156" s="22" t="str">
        <f t="shared" si="20"/>
        <v/>
      </c>
      <c r="B156" s="23" t="str">
        <f>IF($E156="","",150)</f>
        <v/>
      </c>
      <c r="C156" s="24" t="str">
        <f t="shared" si="27"/>
        <v/>
      </c>
      <c r="D156" s="23" t="str">
        <f t="shared" si="28"/>
        <v/>
      </c>
      <c r="E156" s="25" t="str">
        <f t="shared" si="29"/>
        <v/>
      </c>
      <c r="F156" s="25" t="str">
        <f>IF($E156="","",ROUND(MIN(Comparison!$B$5,MAX(0,$E156+$H156)),2))</f>
        <v/>
      </c>
      <c r="G156" s="25" t="str">
        <f>IF($E156="","",ROUND(MIN(Inputs!$B$10,MAX(0,$E156+$H156-$F156)),2))</f>
        <v/>
      </c>
      <c r="H156" s="25" t="str">
        <f>IF($E156="","",ROUND(IF(Inputs!$B$12="Daily Simple Interest",$E156*Inputs!$B$6/Inputs!$B$17*$D156,$E156*Inputs!$B$6/Inputs!$B$18),2))</f>
        <v/>
      </c>
      <c r="I156" s="25" t="str">
        <f t="shared" si="21"/>
        <v/>
      </c>
      <c r="J156" s="25" t="str">
        <f>IF($E156="","",IF($F156+$G156&gt;0,Inputs!$B$11,0))</f>
        <v/>
      </c>
      <c r="K156" s="25" t="str">
        <f t="shared" si="22"/>
        <v/>
      </c>
      <c r="L156" s="25" t="str">
        <f t="shared" si="23"/>
        <v/>
      </c>
      <c r="M156" s="25" t="str">
        <f t="shared" si="24"/>
        <v/>
      </c>
      <c r="N156" s="84" t="str">
        <f t="shared" si="25"/>
        <v/>
      </c>
      <c r="O156" s="23" t="str">
        <f t="shared" si="26"/>
        <v/>
      </c>
    </row>
    <row r="157" spans="1:15" ht="20" customHeight="1">
      <c r="A157" s="22" t="str">
        <f t="shared" si="20"/>
        <v/>
      </c>
      <c r="B157" s="23" t="str">
        <f>IF($E157="","",151)</f>
        <v/>
      </c>
      <c r="C157" s="24" t="str">
        <f t="shared" si="27"/>
        <v/>
      </c>
      <c r="D157" s="23" t="str">
        <f t="shared" si="28"/>
        <v/>
      </c>
      <c r="E157" s="25" t="str">
        <f t="shared" si="29"/>
        <v/>
      </c>
      <c r="F157" s="25" t="str">
        <f>IF($E157="","",ROUND(MIN(Comparison!$B$5,MAX(0,$E157+$H157)),2))</f>
        <v/>
      </c>
      <c r="G157" s="25" t="str">
        <f>IF($E157="","",ROUND(MIN(Inputs!$B$10,MAX(0,$E157+$H157-$F157)),2))</f>
        <v/>
      </c>
      <c r="H157" s="25" t="str">
        <f>IF($E157="","",ROUND(IF(Inputs!$B$12="Daily Simple Interest",$E157*Inputs!$B$6/Inputs!$B$17*$D157,$E157*Inputs!$B$6/Inputs!$B$18),2))</f>
        <v/>
      </c>
      <c r="I157" s="25" t="str">
        <f t="shared" si="21"/>
        <v/>
      </c>
      <c r="J157" s="25" t="str">
        <f>IF($E157="","",IF($F157+$G157&gt;0,Inputs!$B$11,0))</f>
        <v/>
      </c>
      <c r="K157" s="25" t="str">
        <f t="shared" si="22"/>
        <v/>
      </c>
      <c r="L157" s="25" t="str">
        <f t="shared" si="23"/>
        <v/>
      </c>
      <c r="M157" s="25" t="str">
        <f t="shared" si="24"/>
        <v/>
      </c>
      <c r="N157" s="84" t="str">
        <f t="shared" si="25"/>
        <v/>
      </c>
      <c r="O157" s="23" t="str">
        <f t="shared" si="26"/>
        <v/>
      </c>
    </row>
    <row r="158" spans="1:15" ht="20" customHeight="1">
      <c r="A158" s="22" t="str">
        <f t="shared" si="20"/>
        <v/>
      </c>
      <c r="B158" s="23" t="str">
        <f>IF($E158="","",152)</f>
        <v/>
      </c>
      <c r="C158" s="24" t="str">
        <f t="shared" si="27"/>
        <v/>
      </c>
      <c r="D158" s="23" t="str">
        <f t="shared" si="28"/>
        <v/>
      </c>
      <c r="E158" s="25" t="str">
        <f t="shared" si="29"/>
        <v/>
      </c>
      <c r="F158" s="25" t="str">
        <f>IF($E158="","",ROUND(MIN(Comparison!$B$5,MAX(0,$E158+$H158)),2))</f>
        <v/>
      </c>
      <c r="G158" s="25" t="str">
        <f>IF($E158="","",ROUND(MIN(Inputs!$B$10,MAX(0,$E158+$H158-$F158)),2))</f>
        <v/>
      </c>
      <c r="H158" s="25" t="str">
        <f>IF($E158="","",ROUND(IF(Inputs!$B$12="Daily Simple Interest",$E158*Inputs!$B$6/Inputs!$B$17*$D158,$E158*Inputs!$B$6/Inputs!$B$18),2))</f>
        <v/>
      </c>
      <c r="I158" s="25" t="str">
        <f t="shared" si="21"/>
        <v/>
      </c>
      <c r="J158" s="25" t="str">
        <f>IF($E158="","",IF($F158+$G158&gt;0,Inputs!$B$11,0))</f>
        <v/>
      </c>
      <c r="K158" s="25" t="str">
        <f t="shared" si="22"/>
        <v/>
      </c>
      <c r="L158" s="25" t="str">
        <f t="shared" si="23"/>
        <v/>
      </c>
      <c r="M158" s="25" t="str">
        <f t="shared" si="24"/>
        <v/>
      </c>
      <c r="N158" s="84" t="str">
        <f t="shared" si="25"/>
        <v/>
      </c>
      <c r="O158" s="23" t="str">
        <f t="shared" si="26"/>
        <v/>
      </c>
    </row>
    <row r="159" spans="1:15" ht="20" customHeight="1">
      <c r="A159" s="22" t="str">
        <f t="shared" si="20"/>
        <v/>
      </c>
      <c r="B159" s="23" t="str">
        <f>IF($E159="","",153)</f>
        <v/>
      </c>
      <c r="C159" s="24" t="str">
        <f t="shared" si="27"/>
        <v/>
      </c>
      <c r="D159" s="23" t="str">
        <f t="shared" si="28"/>
        <v/>
      </c>
      <c r="E159" s="25" t="str">
        <f t="shared" si="29"/>
        <v/>
      </c>
      <c r="F159" s="25" t="str">
        <f>IF($E159="","",ROUND(MIN(Comparison!$B$5,MAX(0,$E159+$H159)),2))</f>
        <v/>
      </c>
      <c r="G159" s="25" t="str">
        <f>IF($E159="","",ROUND(MIN(Inputs!$B$10,MAX(0,$E159+$H159-$F159)),2))</f>
        <v/>
      </c>
      <c r="H159" s="25" t="str">
        <f>IF($E159="","",ROUND(IF(Inputs!$B$12="Daily Simple Interest",$E159*Inputs!$B$6/Inputs!$B$17*$D159,$E159*Inputs!$B$6/Inputs!$B$18),2))</f>
        <v/>
      </c>
      <c r="I159" s="25" t="str">
        <f t="shared" si="21"/>
        <v/>
      </c>
      <c r="J159" s="25" t="str">
        <f>IF($E159="","",IF($F159+$G159&gt;0,Inputs!$B$11,0))</f>
        <v/>
      </c>
      <c r="K159" s="25" t="str">
        <f t="shared" si="22"/>
        <v/>
      </c>
      <c r="L159" s="25" t="str">
        <f t="shared" si="23"/>
        <v/>
      </c>
      <c r="M159" s="25" t="str">
        <f t="shared" si="24"/>
        <v/>
      </c>
      <c r="N159" s="84" t="str">
        <f t="shared" si="25"/>
        <v/>
      </c>
      <c r="O159" s="23" t="str">
        <f t="shared" si="26"/>
        <v/>
      </c>
    </row>
    <row r="160" spans="1:15" ht="20" customHeight="1">
      <c r="A160" s="22" t="str">
        <f t="shared" si="20"/>
        <v/>
      </c>
      <c r="B160" s="23" t="str">
        <f>IF($E160="","",154)</f>
        <v/>
      </c>
      <c r="C160" s="24" t="str">
        <f t="shared" si="27"/>
        <v/>
      </c>
      <c r="D160" s="23" t="str">
        <f t="shared" si="28"/>
        <v/>
      </c>
      <c r="E160" s="25" t="str">
        <f t="shared" si="29"/>
        <v/>
      </c>
      <c r="F160" s="25" t="str">
        <f>IF($E160="","",ROUND(MIN(Comparison!$B$5,MAX(0,$E160+$H160)),2))</f>
        <v/>
      </c>
      <c r="G160" s="25" t="str">
        <f>IF($E160="","",ROUND(MIN(Inputs!$B$10,MAX(0,$E160+$H160-$F160)),2))</f>
        <v/>
      </c>
      <c r="H160" s="25" t="str">
        <f>IF($E160="","",ROUND(IF(Inputs!$B$12="Daily Simple Interest",$E160*Inputs!$B$6/Inputs!$B$17*$D160,$E160*Inputs!$B$6/Inputs!$B$18),2))</f>
        <v/>
      </c>
      <c r="I160" s="25" t="str">
        <f t="shared" si="21"/>
        <v/>
      </c>
      <c r="J160" s="25" t="str">
        <f>IF($E160="","",IF($F160+$G160&gt;0,Inputs!$B$11,0))</f>
        <v/>
      </c>
      <c r="K160" s="25" t="str">
        <f t="shared" si="22"/>
        <v/>
      </c>
      <c r="L160" s="25" t="str">
        <f t="shared" si="23"/>
        <v/>
      </c>
      <c r="M160" s="25" t="str">
        <f t="shared" si="24"/>
        <v/>
      </c>
      <c r="N160" s="84" t="str">
        <f t="shared" si="25"/>
        <v/>
      </c>
      <c r="O160" s="23" t="str">
        <f t="shared" si="26"/>
        <v/>
      </c>
    </row>
    <row r="161" spans="1:15" ht="20" customHeight="1">
      <c r="A161" s="22" t="str">
        <f t="shared" si="20"/>
        <v/>
      </c>
      <c r="B161" s="23" t="str">
        <f>IF($E161="","",155)</f>
        <v/>
      </c>
      <c r="C161" s="24" t="str">
        <f t="shared" si="27"/>
        <v/>
      </c>
      <c r="D161" s="23" t="str">
        <f t="shared" si="28"/>
        <v/>
      </c>
      <c r="E161" s="25" t="str">
        <f t="shared" si="29"/>
        <v/>
      </c>
      <c r="F161" s="25" t="str">
        <f>IF($E161="","",ROUND(MIN(Comparison!$B$5,MAX(0,$E161+$H161)),2))</f>
        <v/>
      </c>
      <c r="G161" s="25" t="str">
        <f>IF($E161="","",ROUND(MIN(Inputs!$B$10,MAX(0,$E161+$H161-$F161)),2))</f>
        <v/>
      </c>
      <c r="H161" s="25" t="str">
        <f>IF($E161="","",ROUND(IF(Inputs!$B$12="Daily Simple Interest",$E161*Inputs!$B$6/Inputs!$B$17*$D161,$E161*Inputs!$B$6/Inputs!$B$18),2))</f>
        <v/>
      </c>
      <c r="I161" s="25" t="str">
        <f t="shared" si="21"/>
        <v/>
      </c>
      <c r="J161" s="25" t="str">
        <f>IF($E161="","",IF($F161+$G161&gt;0,Inputs!$B$11,0))</f>
        <v/>
      </c>
      <c r="K161" s="25" t="str">
        <f t="shared" si="22"/>
        <v/>
      </c>
      <c r="L161" s="25" t="str">
        <f t="shared" si="23"/>
        <v/>
      </c>
      <c r="M161" s="25" t="str">
        <f t="shared" si="24"/>
        <v/>
      </c>
      <c r="N161" s="84" t="str">
        <f t="shared" si="25"/>
        <v/>
      </c>
      <c r="O161" s="23" t="str">
        <f t="shared" si="26"/>
        <v/>
      </c>
    </row>
    <row r="162" spans="1:15" ht="20" customHeight="1">
      <c r="A162" s="22" t="str">
        <f t="shared" si="20"/>
        <v/>
      </c>
      <c r="B162" s="23" t="str">
        <f>IF($E162="","",156)</f>
        <v/>
      </c>
      <c r="C162" s="24" t="str">
        <f t="shared" si="27"/>
        <v/>
      </c>
      <c r="D162" s="23" t="str">
        <f t="shared" si="28"/>
        <v/>
      </c>
      <c r="E162" s="25" t="str">
        <f t="shared" si="29"/>
        <v/>
      </c>
      <c r="F162" s="25" t="str">
        <f>IF($E162="","",ROUND(MIN(Comparison!$B$5,MAX(0,$E162+$H162)),2))</f>
        <v/>
      </c>
      <c r="G162" s="25" t="str">
        <f>IF($E162="","",ROUND(MIN(Inputs!$B$10,MAX(0,$E162+$H162-$F162)),2))</f>
        <v/>
      </c>
      <c r="H162" s="25" t="str">
        <f>IF($E162="","",ROUND(IF(Inputs!$B$12="Daily Simple Interest",$E162*Inputs!$B$6/Inputs!$B$17*$D162,$E162*Inputs!$B$6/Inputs!$B$18),2))</f>
        <v/>
      </c>
      <c r="I162" s="25" t="str">
        <f t="shared" si="21"/>
        <v/>
      </c>
      <c r="J162" s="25" t="str">
        <f>IF($E162="","",IF($F162+$G162&gt;0,Inputs!$B$11,0))</f>
        <v/>
      </c>
      <c r="K162" s="25" t="str">
        <f t="shared" si="22"/>
        <v/>
      </c>
      <c r="L162" s="25" t="str">
        <f t="shared" si="23"/>
        <v/>
      </c>
      <c r="M162" s="25" t="str">
        <f t="shared" si="24"/>
        <v/>
      </c>
      <c r="N162" s="84" t="str">
        <f t="shared" si="25"/>
        <v/>
      </c>
      <c r="O162" s="23" t="str">
        <f t="shared" si="26"/>
        <v/>
      </c>
    </row>
    <row r="163" spans="1:15" ht="20" customHeight="1">
      <c r="A163" s="22" t="str">
        <f t="shared" si="20"/>
        <v/>
      </c>
      <c r="B163" s="23" t="str">
        <f>IF($E163="","",157)</f>
        <v/>
      </c>
      <c r="C163" s="24" t="str">
        <f t="shared" si="27"/>
        <v/>
      </c>
      <c r="D163" s="23" t="str">
        <f t="shared" si="28"/>
        <v/>
      </c>
      <c r="E163" s="25" t="str">
        <f t="shared" si="29"/>
        <v/>
      </c>
      <c r="F163" s="25" t="str">
        <f>IF($E163="","",ROUND(MIN(Comparison!$B$5,MAX(0,$E163+$H163)),2))</f>
        <v/>
      </c>
      <c r="G163" s="25" t="str">
        <f>IF($E163="","",ROUND(MIN(Inputs!$B$10,MAX(0,$E163+$H163-$F163)),2))</f>
        <v/>
      </c>
      <c r="H163" s="25" t="str">
        <f>IF($E163="","",ROUND(IF(Inputs!$B$12="Daily Simple Interest",$E163*Inputs!$B$6/Inputs!$B$17*$D163,$E163*Inputs!$B$6/Inputs!$B$18),2))</f>
        <v/>
      </c>
      <c r="I163" s="25" t="str">
        <f t="shared" si="21"/>
        <v/>
      </c>
      <c r="J163" s="25" t="str">
        <f>IF($E163="","",IF($F163+$G163&gt;0,Inputs!$B$11,0))</f>
        <v/>
      </c>
      <c r="K163" s="25" t="str">
        <f t="shared" si="22"/>
        <v/>
      </c>
      <c r="L163" s="25" t="str">
        <f t="shared" si="23"/>
        <v/>
      </c>
      <c r="M163" s="25" t="str">
        <f t="shared" si="24"/>
        <v/>
      </c>
      <c r="N163" s="84" t="str">
        <f t="shared" si="25"/>
        <v/>
      </c>
      <c r="O163" s="23" t="str">
        <f t="shared" si="26"/>
        <v/>
      </c>
    </row>
    <row r="164" spans="1:15" ht="20" customHeight="1">
      <c r="A164" s="22" t="str">
        <f t="shared" si="20"/>
        <v/>
      </c>
      <c r="B164" s="23" t="str">
        <f>IF($E164="","",158)</f>
        <v/>
      </c>
      <c r="C164" s="24" t="str">
        <f t="shared" si="27"/>
        <v/>
      </c>
      <c r="D164" s="23" t="str">
        <f t="shared" si="28"/>
        <v/>
      </c>
      <c r="E164" s="25" t="str">
        <f t="shared" si="29"/>
        <v/>
      </c>
      <c r="F164" s="25" t="str">
        <f>IF($E164="","",ROUND(MIN(Comparison!$B$5,MAX(0,$E164+$H164)),2))</f>
        <v/>
      </c>
      <c r="G164" s="25" t="str">
        <f>IF($E164="","",ROUND(MIN(Inputs!$B$10,MAX(0,$E164+$H164-$F164)),2))</f>
        <v/>
      </c>
      <c r="H164" s="25" t="str">
        <f>IF($E164="","",ROUND(IF(Inputs!$B$12="Daily Simple Interest",$E164*Inputs!$B$6/Inputs!$B$17*$D164,$E164*Inputs!$B$6/Inputs!$B$18),2))</f>
        <v/>
      </c>
      <c r="I164" s="25" t="str">
        <f t="shared" si="21"/>
        <v/>
      </c>
      <c r="J164" s="25" t="str">
        <f>IF($E164="","",IF($F164+$G164&gt;0,Inputs!$B$11,0))</f>
        <v/>
      </c>
      <c r="K164" s="25" t="str">
        <f t="shared" si="22"/>
        <v/>
      </c>
      <c r="L164" s="25" t="str">
        <f t="shared" si="23"/>
        <v/>
      </c>
      <c r="M164" s="25" t="str">
        <f t="shared" si="24"/>
        <v/>
      </c>
      <c r="N164" s="84" t="str">
        <f t="shared" si="25"/>
        <v/>
      </c>
      <c r="O164" s="23" t="str">
        <f t="shared" si="26"/>
        <v/>
      </c>
    </row>
    <row r="165" spans="1:15" ht="20" customHeight="1">
      <c r="A165" s="22" t="str">
        <f t="shared" si="20"/>
        <v/>
      </c>
      <c r="B165" s="23" t="str">
        <f>IF($E165="","",159)</f>
        <v/>
      </c>
      <c r="C165" s="24" t="str">
        <f t="shared" si="27"/>
        <v/>
      </c>
      <c r="D165" s="23" t="str">
        <f t="shared" si="28"/>
        <v/>
      </c>
      <c r="E165" s="25" t="str">
        <f t="shared" si="29"/>
        <v/>
      </c>
      <c r="F165" s="25" t="str">
        <f>IF($E165="","",ROUND(MIN(Comparison!$B$5,MAX(0,$E165+$H165)),2))</f>
        <v/>
      </c>
      <c r="G165" s="25" t="str">
        <f>IF($E165="","",ROUND(MIN(Inputs!$B$10,MAX(0,$E165+$H165-$F165)),2))</f>
        <v/>
      </c>
      <c r="H165" s="25" t="str">
        <f>IF($E165="","",ROUND(IF(Inputs!$B$12="Daily Simple Interest",$E165*Inputs!$B$6/Inputs!$B$17*$D165,$E165*Inputs!$B$6/Inputs!$B$18),2))</f>
        <v/>
      </c>
      <c r="I165" s="25" t="str">
        <f t="shared" si="21"/>
        <v/>
      </c>
      <c r="J165" s="25" t="str">
        <f>IF($E165="","",IF($F165+$G165&gt;0,Inputs!$B$11,0))</f>
        <v/>
      </c>
      <c r="K165" s="25" t="str">
        <f t="shared" si="22"/>
        <v/>
      </c>
      <c r="L165" s="25" t="str">
        <f t="shared" si="23"/>
        <v/>
      </c>
      <c r="M165" s="25" t="str">
        <f t="shared" si="24"/>
        <v/>
      </c>
      <c r="N165" s="84" t="str">
        <f t="shared" si="25"/>
        <v/>
      </c>
      <c r="O165" s="23" t="str">
        <f t="shared" si="26"/>
        <v/>
      </c>
    </row>
    <row r="166" spans="1:15" ht="20" customHeight="1">
      <c r="A166" s="22" t="str">
        <f t="shared" si="20"/>
        <v/>
      </c>
      <c r="B166" s="23" t="str">
        <f>IF($E166="","",160)</f>
        <v/>
      </c>
      <c r="C166" s="24" t="str">
        <f t="shared" si="27"/>
        <v/>
      </c>
      <c r="D166" s="23" t="str">
        <f t="shared" si="28"/>
        <v/>
      </c>
      <c r="E166" s="25" t="str">
        <f t="shared" si="29"/>
        <v/>
      </c>
      <c r="F166" s="25" t="str">
        <f>IF($E166="","",ROUND(MIN(Comparison!$B$5,MAX(0,$E166+$H166)),2))</f>
        <v/>
      </c>
      <c r="G166" s="25" t="str">
        <f>IF($E166="","",ROUND(MIN(Inputs!$B$10,MAX(0,$E166+$H166-$F166)),2))</f>
        <v/>
      </c>
      <c r="H166" s="25" t="str">
        <f>IF($E166="","",ROUND(IF(Inputs!$B$12="Daily Simple Interest",$E166*Inputs!$B$6/Inputs!$B$17*$D166,$E166*Inputs!$B$6/Inputs!$B$18),2))</f>
        <v/>
      </c>
      <c r="I166" s="25" t="str">
        <f t="shared" si="21"/>
        <v/>
      </c>
      <c r="J166" s="25" t="str">
        <f>IF($E166="","",IF($F166+$G166&gt;0,Inputs!$B$11,0))</f>
        <v/>
      </c>
      <c r="K166" s="25" t="str">
        <f t="shared" si="22"/>
        <v/>
      </c>
      <c r="L166" s="25" t="str">
        <f t="shared" si="23"/>
        <v/>
      </c>
      <c r="M166" s="25" t="str">
        <f t="shared" si="24"/>
        <v/>
      </c>
      <c r="N166" s="84" t="str">
        <f t="shared" si="25"/>
        <v/>
      </c>
      <c r="O166" s="23" t="str">
        <f t="shared" si="26"/>
        <v/>
      </c>
    </row>
    <row r="167" spans="1:15" ht="20" customHeight="1">
      <c r="A167" s="22" t="str">
        <f t="shared" si="20"/>
        <v/>
      </c>
      <c r="B167" s="23" t="str">
        <f>IF($E167="","",161)</f>
        <v/>
      </c>
      <c r="C167" s="24" t="str">
        <f t="shared" si="27"/>
        <v/>
      </c>
      <c r="D167" s="23" t="str">
        <f t="shared" si="28"/>
        <v/>
      </c>
      <c r="E167" s="25" t="str">
        <f t="shared" si="29"/>
        <v/>
      </c>
      <c r="F167" s="25" t="str">
        <f>IF($E167="","",ROUND(MIN(Comparison!$B$5,MAX(0,$E167+$H167)),2))</f>
        <v/>
      </c>
      <c r="G167" s="25" t="str">
        <f>IF($E167="","",ROUND(MIN(Inputs!$B$10,MAX(0,$E167+$H167-$F167)),2))</f>
        <v/>
      </c>
      <c r="H167" s="25" t="str">
        <f>IF($E167="","",ROUND(IF(Inputs!$B$12="Daily Simple Interest",$E167*Inputs!$B$6/Inputs!$B$17*$D167,$E167*Inputs!$B$6/Inputs!$B$18),2))</f>
        <v/>
      </c>
      <c r="I167" s="25" t="str">
        <f t="shared" si="21"/>
        <v/>
      </c>
      <c r="J167" s="25" t="str">
        <f>IF($E167="","",IF($F167+$G167&gt;0,Inputs!$B$11,0))</f>
        <v/>
      </c>
      <c r="K167" s="25" t="str">
        <f t="shared" si="22"/>
        <v/>
      </c>
      <c r="L167" s="25" t="str">
        <f t="shared" si="23"/>
        <v/>
      </c>
      <c r="M167" s="25" t="str">
        <f t="shared" si="24"/>
        <v/>
      </c>
      <c r="N167" s="84" t="str">
        <f t="shared" si="25"/>
        <v/>
      </c>
      <c r="O167" s="23" t="str">
        <f t="shared" si="26"/>
        <v/>
      </c>
    </row>
    <row r="168" spans="1:15" ht="20" customHeight="1">
      <c r="A168" s="22" t="str">
        <f t="shared" si="20"/>
        <v/>
      </c>
      <c r="B168" s="23" t="str">
        <f>IF($E168="","",162)</f>
        <v/>
      </c>
      <c r="C168" s="24" t="str">
        <f t="shared" si="27"/>
        <v/>
      </c>
      <c r="D168" s="23" t="str">
        <f t="shared" si="28"/>
        <v/>
      </c>
      <c r="E168" s="25" t="str">
        <f t="shared" si="29"/>
        <v/>
      </c>
      <c r="F168" s="25" t="str">
        <f>IF($E168="","",ROUND(MIN(Comparison!$B$5,MAX(0,$E168+$H168)),2))</f>
        <v/>
      </c>
      <c r="G168" s="25" t="str">
        <f>IF($E168="","",ROUND(MIN(Inputs!$B$10,MAX(0,$E168+$H168-$F168)),2))</f>
        <v/>
      </c>
      <c r="H168" s="25" t="str">
        <f>IF($E168="","",ROUND(IF(Inputs!$B$12="Daily Simple Interest",$E168*Inputs!$B$6/Inputs!$B$17*$D168,$E168*Inputs!$B$6/Inputs!$B$18),2))</f>
        <v/>
      </c>
      <c r="I168" s="25" t="str">
        <f t="shared" si="21"/>
        <v/>
      </c>
      <c r="J168" s="25" t="str">
        <f>IF($E168="","",IF($F168+$G168&gt;0,Inputs!$B$11,0))</f>
        <v/>
      </c>
      <c r="K168" s="25" t="str">
        <f t="shared" si="22"/>
        <v/>
      </c>
      <c r="L168" s="25" t="str">
        <f t="shared" si="23"/>
        <v/>
      </c>
      <c r="M168" s="25" t="str">
        <f t="shared" si="24"/>
        <v/>
      </c>
      <c r="N168" s="84" t="str">
        <f t="shared" si="25"/>
        <v/>
      </c>
      <c r="O168" s="23" t="str">
        <f t="shared" si="26"/>
        <v/>
      </c>
    </row>
    <row r="169" spans="1:15" ht="20" customHeight="1">
      <c r="A169" s="22" t="str">
        <f t="shared" si="20"/>
        <v/>
      </c>
      <c r="B169" s="23" t="str">
        <f>IF($E169="","",163)</f>
        <v/>
      </c>
      <c r="C169" s="24" t="str">
        <f t="shared" si="27"/>
        <v/>
      </c>
      <c r="D169" s="23" t="str">
        <f t="shared" si="28"/>
        <v/>
      </c>
      <c r="E169" s="25" t="str">
        <f t="shared" si="29"/>
        <v/>
      </c>
      <c r="F169" s="25" t="str">
        <f>IF($E169="","",ROUND(MIN(Comparison!$B$5,MAX(0,$E169+$H169)),2))</f>
        <v/>
      </c>
      <c r="G169" s="25" t="str">
        <f>IF($E169="","",ROUND(MIN(Inputs!$B$10,MAX(0,$E169+$H169-$F169)),2))</f>
        <v/>
      </c>
      <c r="H169" s="25" t="str">
        <f>IF($E169="","",ROUND(IF(Inputs!$B$12="Daily Simple Interest",$E169*Inputs!$B$6/Inputs!$B$17*$D169,$E169*Inputs!$B$6/Inputs!$B$18),2))</f>
        <v/>
      </c>
      <c r="I169" s="25" t="str">
        <f t="shared" si="21"/>
        <v/>
      </c>
      <c r="J169" s="25" t="str">
        <f>IF($E169="","",IF($F169+$G169&gt;0,Inputs!$B$11,0))</f>
        <v/>
      </c>
      <c r="K169" s="25" t="str">
        <f t="shared" si="22"/>
        <v/>
      </c>
      <c r="L169" s="25" t="str">
        <f t="shared" si="23"/>
        <v/>
      </c>
      <c r="M169" s="25" t="str">
        <f t="shared" si="24"/>
        <v/>
      </c>
      <c r="N169" s="84" t="str">
        <f t="shared" si="25"/>
        <v/>
      </c>
      <c r="O169" s="23" t="str">
        <f t="shared" si="26"/>
        <v/>
      </c>
    </row>
    <row r="170" spans="1:15" ht="20" customHeight="1">
      <c r="A170" s="22" t="str">
        <f t="shared" si="20"/>
        <v/>
      </c>
      <c r="B170" s="23" t="str">
        <f>IF($E170="","",164)</f>
        <v/>
      </c>
      <c r="C170" s="24" t="str">
        <f t="shared" si="27"/>
        <v/>
      </c>
      <c r="D170" s="23" t="str">
        <f t="shared" si="28"/>
        <v/>
      </c>
      <c r="E170" s="25" t="str">
        <f t="shared" si="29"/>
        <v/>
      </c>
      <c r="F170" s="25" t="str">
        <f>IF($E170="","",ROUND(MIN(Comparison!$B$5,MAX(0,$E170+$H170)),2))</f>
        <v/>
      </c>
      <c r="G170" s="25" t="str">
        <f>IF($E170="","",ROUND(MIN(Inputs!$B$10,MAX(0,$E170+$H170-$F170)),2))</f>
        <v/>
      </c>
      <c r="H170" s="25" t="str">
        <f>IF($E170="","",ROUND(IF(Inputs!$B$12="Daily Simple Interest",$E170*Inputs!$B$6/Inputs!$B$17*$D170,$E170*Inputs!$B$6/Inputs!$B$18),2))</f>
        <v/>
      </c>
      <c r="I170" s="25" t="str">
        <f t="shared" si="21"/>
        <v/>
      </c>
      <c r="J170" s="25" t="str">
        <f>IF($E170="","",IF($F170+$G170&gt;0,Inputs!$B$11,0))</f>
        <v/>
      </c>
      <c r="K170" s="25" t="str">
        <f t="shared" si="22"/>
        <v/>
      </c>
      <c r="L170" s="25" t="str">
        <f t="shared" si="23"/>
        <v/>
      </c>
      <c r="M170" s="25" t="str">
        <f t="shared" si="24"/>
        <v/>
      </c>
      <c r="N170" s="84" t="str">
        <f t="shared" si="25"/>
        <v/>
      </c>
      <c r="O170" s="23" t="str">
        <f t="shared" si="26"/>
        <v/>
      </c>
    </row>
    <row r="171" spans="1:15" ht="20" customHeight="1">
      <c r="A171" s="22" t="str">
        <f t="shared" si="20"/>
        <v/>
      </c>
      <c r="B171" s="23" t="str">
        <f>IF($E171="","",165)</f>
        <v/>
      </c>
      <c r="C171" s="24" t="str">
        <f t="shared" si="27"/>
        <v/>
      </c>
      <c r="D171" s="23" t="str">
        <f t="shared" si="28"/>
        <v/>
      </c>
      <c r="E171" s="25" t="str">
        <f t="shared" si="29"/>
        <v/>
      </c>
      <c r="F171" s="25" t="str">
        <f>IF($E171="","",ROUND(MIN(Comparison!$B$5,MAX(0,$E171+$H171)),2))</f>
        <v/>
      </c>
      <c r="G171" s="25" t="str">
        <f>IF($E171="","",ROUND(MIN(Inputs!$B$10,MAX(0,$E171+$H171-$F171)),2))</f>
        <v/>
      </c>
      <c r="H171" s="25" t="str">
        <f>IF($E171="","",ROUND(IF(Inputs!$B$12="Daily Simple Interest",$E171*Inputs!$B$6/Inputs!$B$17*$D171,$E171*Inputs!$B$6/Inputs!$B$18),2))</f>
        <v/>
      </c>
      <c r="I171" s="25" t="str">
        <f t="shared" si="21"/>
        <v/>
      </c>
      <c r="J171" s="25" t="str">
        <f>IF($E171="","",IF($F171+$G171&gt;0,Inputs!$B$11,0))</f>
        <v/>
      </c>
      <c r="K171" s="25" t="str">
        <f t="shared" si="22"/>
        <v/>
      </c>
      <c r="L171" s="25" t="str">
        <f t="shared" si="23"/>
        <v/>
      </c>
      <c r="M171" s="25" t="str">
        <f t="shared" si="24"/>
        <v/>
      </c>
      <c r="N171" s="84" t="str">
        <f t="shared" si="25"/>
        <v/>
      </c>
      <c r="O171" s="23" t="str">
        <f t="shared" si="26"/>
        <v/>
      </c>
    </row>
    <row r="172" spans="1:15" ht="20" customHeight="1">
      <c r="A172" s="22" t="str">
        <f t="shared" si="20"/>
        <v/>
      </c>
      <c r="B172" s="23" t="str">
        <f>IF($E172="","",166)</f>
        <v/>
      </c>
      <c r="C172" s="24" t="str">
        <f t="shared" si="27"/>
        <v/>
      </c>
      <c r="D172" s="23" t="str">
        <f t="shared" si="28"/>
        <v/>
      </c>
      <c r="E172" s="25" t="str">
        <f t="shared" si="29"/>
        <v/>
      </c>
      <c r="F172" s="25" t="str">
        <f>IF($E172="","",ROUND(MIN(Comparison!$B$5,MAX(0,$E172+$H172)),2))</f>
        <v/>
      </c>
      <c r="G172" s="25" t="str">
        <f>IF($E172="","",ROUND(MIN(Inputs!$B$10,MAX(0,$E172+$H172-$F172)),2))</f>
        <v/>
      </c>
      <c r="H172" s="25" t="str">
        <f>IF($E172="","",ROUND(IF(Inputs!$B$12="Daily Simple Interest",$E172*Inputs!$B$6/Inputs!$B$17*$D172,$E172*Inputs!$B$6/Inputs!$B$18),2))</f>
        <v/>
      </c>
      <c r="I172" s="25" t="str">
        <f t="shared" si="21"/>
        <v/>
      </c>
      <c r="J172" s="25" t="str">
        <f>IF($E172="","",IF($F172+$G172&gt;0,Inputs!$B$11,0))</f>
        <v/>
      </c>
      <c r="K172" s="25" t="str">
        <f t="shared" si="22"/>
        <v/>
      </c>
      <c r="L172" s="25" t="str">
        <f t="shared" si="23"/>
        <v/>
      </c>
      <c r="M172" s="25" t="str">
        <f t="shared" si="24"/>
        <v/>
      </c>
      <c r="N172" s="84" t="str">
        <f t="shared" si="25"/>
        <v/>
      </c>
      <c r="O172" s="23" t="str">
        <f t="shared" si="26"/>
        <v/>
      </c>
    </row>
    <row r="173" spans="1:15" ht="20" customHeight="1">
      <c r="A173" s="22" t="str">
        <f t="shared" si="20"/>
        <v/>
      </c>
      <c r="B173" s="23" t="str">
        <f>IF($E173="","",167)</f>
        <v/>
      </c>
      <c r="C173" s="24" t="str">
        <f t="shared" si="27"/>
        <v/>
      </c>
      <c r="D173" s="23" t="str">
        <f t="shared" si="28"/>
        <v/>
      </c>
      <c r="E173" s="25" t="str">
        <f t="shared" si="29"/>
        <v/>
      </c>
      <c r="F173" s="25" t="str">
        <f>IF($E173="","",ROUND(MIN(Comparison!$B$5,MAX(0,$E173+$H173)),2))</f>
        <v/>
      </c>
      <c r="G173" s="25" t="str">
        <f>IF($E173="","",ROUND(MIN(Inputs!$B$10,MAX(0,$E173+$H173-$F173)),2))</f>
        <v/>
      </c>
      <c r="H173" s="25" t="str">
        <f>IF($E173="","",ROUND(IF(Inputs!$B$12="Daily Simple Interest",$E173*Inputs!$B$6/Inputs!$B$17*$D173,$E173*Inputs!$B$6/Inputs!$B$18),2))</f>
        <v/>
      </c>
      <c r="I173" s="25" t="str">
        <f t="shared" si="21"/>
        <v/>
      </c>
      <c r="J173" s="25" t="str">
        <f>IF($E173="","",IF($F173+$G173&gt;0,Inputs!$B$11,0))</f>
        <v/>
      </c>
      <c r="K173" s="25" t="str">
        <f t="shared" si="22"/>
        <v/>
      </c>
      <c r="L173" s="25" t="str">
        <f t="shared" si="23"/>
        <v/>
      </c>
      <c r="M173" s="25" t="str">
        <f t="shared" si="24"/>
        <v/>
      </c>
      <c r="N173" s="84" t="str">
        <f t="shared" si="25"/>
        <v/>
      </c>
      <c r="O173" s="23" t="str">
        <f t="shared" si="26"/>
        <v/>
      </c>
    </row>
    <row r="174" spans="1:15" ht="20" customHeight="1">
      <c r="A174" s="22" t="str">
        <f t="shared" si="20"/>
        <v/>
      </c>
      <c r="B174" s="23" t="str">
        <f>IF($E174="","",168)</f>
        <v/>
      </c>
      <c r="C174" s="24" t="str">
        <f t="shared" si="27"/>
        <v/>
      </c>
      <c r="D174" s="23" t="str">
        <f t="shared" si="28"/>
        <v/>
      </c>
      <c r="E174" s="25" t="str">
        <f t="shared" si="29"/>
        <v/>
      </c>
      <c r="F174" s="25" t="str">
        <f>IF($E174="","",ROUND(MIN(Comparison!$B$5,MAX(0,$E174+$H174)),2))</f>
        <v/>
      </c>
      <c r="G174" s="25" t="str">
        <f>IF($E174="","",ROUND(MIN(Inputs!$B$10,MAX(0,$E174+$H174-$F174)),2))</f>
        <v/>
      </c>
      <c r="H174" s="25" t="str">
        <f>IF($E174="","",ROUND(IF(Inputs!$B$12="Daily Simple Interest",$E174*Inputs!$B$6/Inputs!$B$17*$D174,$E174*Inputs!$B$6/Inputs!$B$18),2))</f>
        <v/>
      </c>
      <c r="I174" s="25" t="str">
        <f t="shared" si="21"/>
        <v/>
      </c>
      <c r="J174" s="25" t="str">
        <f>IF($E174="","",IF($F174+$G174&gt;0,Inputs!$B$11,0))</f>
        <v/>
      </c>
      <c r="K174" s="25" t="str">
        <f t="shared" si="22"/>
        <v/>
      </c>
      <c r="L174" s="25" t="str">
        <f t="shared" si="23"/>
        <v/>
      </c>
      <c r="M174" s="25" t="str">
        <f t="shared" si="24"/>
        <v/>
      </c>
      <c r="N174" s="84" t="str">
        <f t="shared" si="25"/>
        <v/>
      </c>
      <c r="O174" s="23" t="str">
        <f t="shared" si="26"/>
        <v/>
      </c>
    </row>
    <row r="175" spans="1:15" ht="20" customHeight="1">
      <c r="A175" s="22" t="str">
        <f t="shared" si="20"/>
        <v/>
      </c>
      <c r="B175" s="23" t="str">
        <f>IF($E175="","",169)</f>
        <v/>
      </c>
      <c r="C175" s="24" t="str">
        <f t="shared" si="27"/>
        <v/>
      </c>
      <c r="D175" s="23" t="str">
        <f t="shared" si="28"/>
        <v/>
      </c>
      <c r="E175" s="25" t="str">
        <f t="shared" si="29"/>
        <v/>
      </c>
      <c r="F175" s="25" t="str">
        <f>IF($E175="","",ROUND(MIN(Comparison!$B$5,MAX(0,$E175+$H175)),2))</f>
        <v/>
      </c>
      <c r="G175" s="25" t="str">
        <f>IF($E175="","",ROUND(MIN(Inputs!$B$10,MAX(0,$E175+$H175-$F175)),2))</f>
        <v/>
      </c>
      <c r="H175" s="25" t="str">
        <f>IF($E175="","",ROUND(IF(Inputs!$B$12="Daily Simple Interest",$E175*Inputs!$B$6/Inputs!$B$17*$D175,$E175*Inputs!$B$6/Inputs!$B$18),2))</f>
        <v/>
      </c>
      <c r="I175" s="25" t="str">
        <f t="shared" si="21"/>
        <v/>
      </c>
      <c r="J175" s="25" t="str">
        <f>IF($E175="","",IF($F175+$G175&gt;0,Inputs!$B$11,0))</f>
        <v/>
      </c>
      <c r="K175" s="25" t="str">
        <f t="shared" si="22"/>
        <v/>
      </c>
      <c r="L175" s="25" t="str">
        <f t="shared" si="23"/>
        <v/>
      </c>
      <c r="M175" s="25" t="str">
        <f t="shared" si="24"/>
        <v/>
      </c>
      <c r="N175" s="84" t="str">
        <f t="shared" si="25"/>
        <v/>
      </c>
      <c r="O175" s="23" t="str">
        <f t="shared" si="26"/>
        <v/>
      </c>
    </row>
    <row r="176" spans="1:15" ht="20" customHeight="1">
      <c r="A176" s="22" t="str">
        <f t="shared" si="20"/>
        <v/>
      </c>
      <c r="B176" s="23" t="str">
        <f>IF($E176="","",170)</f>
        <v/>
      </c>
      <c r="C176" s="24" t="str">
        <f t="shared" si="27"/>
        <v/>
      </c>
      <c r="D176" s="23" t="str">
        <f t="shared" si="28"/>
        <v/>
      </c>
      <c r="E176" s="25" t="str">
        <f t="shared" si="29"/>
        <v/>
      </c>
      <c r="F176" s="25" t="str">
        <f>IF($E176="","",ROUND(MIN(Comparison!$B$5,MAX(0,$E176+$H176)),2))</f>
        <v/>
      </c>
      <c r="G176" s="25" t="str">
        <f>IF($E176="","",ROUND(MIN(Inputs!$B$10,MAX(0,$E176+$H176-$F176)),2))</f>
        <v/>
      </c>
      <c r="H176" s="25" t="str">
        <f>IF($E176="","",ROUND(IF(Inputs!$B$12="Daily Simple Interest",$E176*Inputs!$B$6/Inputs!$B$17*$D176,$E176*Inputs!$B$6/Inputs!$B$18),2))</f>
        <v/>
      </c>
      <c r="I176" s="25" t="str">
        <f t="shared" si="21"/>
        <v/>
      </c>
      <c r="J176" s="25" t="str">
        <f>IF($E176="","",IF($F176+$G176&gt;0,Inputs!$B$11,0))</f>
        <v/>
      </c>
      <c r="K176" s="25" t="str">
        <f t="shared" si="22"/>
        <v/>
      </c>
      <c r="L176" s="25" t="str">
        <f t="shared" si="23"/>
        <v/>
      </c>
      <c r="M176" s="25" t="str">
        <f t="shared" si="24"/>
        <v/>
      </c>
      <c r="N176" s="84" t="str">
        <f t="shared" si="25"/>
        <v/>
      </c>
      <c r="O176" s="23" t="str">
        <f t="shared" si="26"/>
        <v/>
      </c>
    </row>
    <row r="177" spans="1:15" ht="20" customHeight="1">
      <c r="A177" s="22" t="str">
        <f t="shared" si="20"/>
        <v/>
      </c>
      <c r="B177" s="23" t="str">
        <f>IF($E177="","",171)</f>
        <v/>
      </c>
      <c r="C177" s="24" t="str">
        <f t="shared" si="27"/>
        <v/>
      </c>
      <c r="D177" s="23" t="str">
        <f t="shared" si="28"/>
        <v/>
      </c>
      <c r="E177" s="25" t="str">
        <f t="shared" si="29"/>
        <v/>
      </c>
      <c r="F177" s="25" t="str">
        <f>IF($E177="","",ROUND(MIN(Comparison!$B$5,MAX(0,$E177+$H177)),2))</f>
        <v/>
      </c>
      <c r="G177" s="25" t="str">
        <f>IF($E177="","",ROUND(MIN(Inputs!$B$10,MAX(0,$E177+$H177-$F177)),2))</f>
        <v/>
      </c>
      <c r="H177" s="25" t="str">
        <f>IF($E177="","",ROUND(IF(Inputs!$B$12="Daily Simple Interest",$E177*Inputs!$B$6/Inputs!$B$17*$D177,$E177*Inputs!$B$6/Inputs!$B$18),2))</f>
        <v/>
      </c>
      <c r="I177" s="25" t="str">
        <f t="shared" si="21"/>
        <v/>
      </c>
      <c r="J177" s="25" t="str">
        <f>IF($E177="","",IF($F177+$G177&gt;0,Inputs!$B$11,0))</f>
        <v/>
      </c>
      <c r="K177" s="25" t="str">
        <f t="shared" si="22"/>
        <v/>
      </c>
      <c r="L177" s="25" t="str">
        <f t="shared" si="23"/>
        <v/>
      </c>
      <c r="M177" s="25" t="str">
        <f t="shared" si="24"/>
        <v/>
      </c>
      <c r="N177" s="84" t="str">
        <f t="shared" si="25"/>
        <v/>
      </c>
      <c r="O177" s="23" t="str">
        <f t="shared" si="26"/>
        <v/>
      </c>
    </row>
    <row r="178" spans="1:15" ht="20" customHeight="1">
      <c r="A178" s="22" t="str">
        <f t="shared" si="20"/>
        <v/>
      </c>
      <c r="B178" s="23" t="str">
        <f>IF($E178="","",172)</f>
        <v/>
      </c>
      <c r="C178" s="24" t="str">
        <f t="shared" si="27"/>
        <v/>
      </c>
      <c r="D178" s="23" t="str">
        <f t="shared" si="28"/>
        <v/>
      </c>
      <c r="E178" s="25" t="str">
        <f t="shared" si="29"/>
        <v/>
      </c>
      <c r="F178" s="25" t="str">
        <f>IF($E178="","",ROUND(MIN(Comparison!$B$5,MAX(0,$E178+$H178)),2))</f>
        <v/>
      </c>
      <c r="G178" s="25" t="str">
        <f>IF($E178="","",ROUND(MIN(Inputs!$B$10,MAX(0,$E178+$H178-$F178)),2))</f>
        <v/>
      </c>
      <c r="H178" s="25" t="str">
        <f>IF($E178="","",ROUND(IF(Inputs!$B$12="Daily Simple Interest",$E178*Inputs!$B$6/Inputs!$B$17*$D178,$E178*Inputs!$B$6/Inputs!$B$18),2))</f>
        <v/>
      </c>
      <c r="I178" s="25" t="str">
        <f t="shared" si="21"/>
        <v/>
      </c>
      <c r="J178" s="25" t="str">
        <f>IF($E178="","",IF($F178+$G178&gt;0,Inputs!$B$11,0))</f>
        <v/>
      </c>
      <c r="K178" s="25" t="str">
        <f t="shared" si="22"/>
        <v/>
      </c>
      <c r="L178" s="25" t="str">
        <f t="shared" si="23"/>
        <v/>
      </c>
      <c r="M178" s="25" t="str">
        <f t="shared" si="24"/>
        <v/>
      </c>
      <c r="N178" s="84" t="str">
        <f t="shared" si="25"/>
        <v/>
      </c>
      <c r="O178" s="23" t="str">
        <f t="shared" si="26"/>
        <v/>
      </c>
    </row>
    <row r="179" spans="1:15" ht="20" customHeight="1">
      <c r="A179" s="22" t="str">
        <f t="shared" si="20"/>
        <v/>
      </c>
      <c r="B179" s="23" t="str">
        <f>IF($E179="","",173)</f>
        <v/>
      </c>
      <c r="C179" s="24" t="str">
        <f t="shared" si="27"/>
        <v/>
      </c>
      <c r="D179" s="23" t="str">
        <f t="shared" si="28"/>
        <v/>
      </c>
      <c r="E179" s="25" t="str">
        <f t="shared" si="29"/>
        <v/>
      </c>
      <c r="F179" s="25" t="str">
        <f>IF($E179="","",ROUND(MIN(Comparison!$B$5,MAX(0,$E179+$H179)),2))</f>
        <v/>
      </c>
      <c r="G179" s="25" t="str">
        <f>IF($E179="","",ROUND(MIN(Inputs!$B$10,MAX(0,$E179+$H179-$F179)),2))</f>
        <v/>
      </c>
      <c r="H179" s="25" t="str">
        <f>IF($E179="","",ROUND(IF(Inputs!$B$12="Daily Simple Interest",$E179*Inputs!$B$6/Inputs!$B$17*$D179,$E179*Inputs!$B$6/Inputs!$B$18),2))</f>
        <v/>
      </c>
      <c r="I179" s="25" t="str">
        <f t="shared" si="21"/>
        <v/>
      </c>
      <c r="J179" s="25" t="str">
        <f>IF($E179="","",IF($F179+$G179&gt;0,Inputs!$B$11,0))</f>
        <v/>
      </c>
      <c r="K179" s="25" t="str">
        <f t="shared" si="22"/>
        <v/>
      </c>
      <c r="L179" s="25" t="str">
        <f t="shared" si="23"/>
        <v/>
      </c>
      <c r="M179" s="25" t="str">
        <f t="shared" si="24"/>
        <v/>
      </c>
      <c r="N179" s="84" t="str">
        <f t="shared" si="25"/>
        <v/>
      </c>
      <c r="O179" s="23" t="str">
        <f t="shared" si="26"/>
        <v/>
      </c>
    </row>
    <row r="180" spans="1:15" ht="20" customHeight="1">
      <c r="A180" s="22" t="str">
        <f t="shared" si="20"/>
        <v/>
      </c>
      <c r="B180" s="23" t="str">
        <f>IF($E180="","",174)</f>
        <v/>
      </c>
      <c r="C180" s="24" t="str">
        <f t="shared" si="27"/>
        <v/>
      </c>
      <c r="D180" s="23" t="str">
        <f t="shared" si="28"/>
        <v/>
      </c>
      <c r="E180" s="25" t="str">
        <f t="shared" si="29"/>
        <v/>
      </c>
      <c r="F180" s="25" t="str">
        <f>IF($E180="","",ROUND(MIN(Comparison!$B$5,MAX(0,$E180+$H180)),2))</f>
        <v/>
      </c>
      <c r="G180" s="25" t="str">
        <f>IF($E180="","",ROUND(MIN(Inputs!$B$10,MAX(0,$E180+$H180-$F180)),2))</f>
        <v/>
      </c>
      <c r="H180" s="25" t="str">
        <f>IF($E180="","",ROUND(IF(Inputs!$B$12="Daily Simple Interest",$E180*Inputs!$B$6/Inputs!$B$17*$D180,$E180*Inputs!$B$6/Inputs!$B$18),2))</f>
        <v/>
      </c>
      <c r="I180" s="25" t="str">
        <f t="shared" si="21"/>
        <v/>
      </c>
      <c r="J180" s="25" t="str">
        <f>IF($E180="","",IF($F180+$G180&gt;0,Inputs!$B$11,0))</f>
        <v/>
      </c>
      <c r="K180" s="25" t="str">
        <f t="shared" si="22"/>
        <v/>
      </c>
      <c r="L180" s="25" t="str">
        <f t="shared" si="23"/>
        <v/>
      </c>
      <c r="M180" s="25" t="str">
        <f t="shared" si="24"/>
        <v/>
      </c>
      <c r="N180" s="84" t="str">
        <f t="shared" si="25"/>
        <v/>
      </c>
      <c r="O180" s="23" t="str">
        <f t="shared" si="26"/>
        <v/>
      </c>
    </row>
    <row r="181" spans="1:15" ht="20" customHeight="1">
      <c r="A181" s="22" t="str">
        <f t="shared" si="20"/>
        <v/>
      </c>
      <c r="B181" s="23" t="str">
        <f>IF($E181="","",175)</f>
        <v/>
      </c>
      <c r="C181" s="24" t="str">
        <f t="shared" si="27"/>
        <v/>
      </c>
      <c r="D181" s="23" t="str">
        <f t="shared" si="28"/>
        <v/>
      </c>
      <c r="E181" s="25" t="str">
        <f t="shared" si="29"/>
        <v/>
      </c>
      <c r="F181" s="25" t="str">
        <f>IF($E181="","",ROUND(MIN(Comparison!$B$5,MAX(0,$E181+$H181)),2))</f>
        <v/>
      </c>
      <c r="G181" s="25" t="str">
        <f>IF($E181="","",ROUND(MIN(Inputs!$B$10,MAX(0,$E181+$H181-$F181)),2))</f>
        <v/>
      </c>
      <c r="H181" s="25" t="str">
        <f>IF($E181="","",ROUND(IF(Inputs!$B$12="Daily Simple Interest",$E181*Inputs!$B$6/Inputs!$B$17*$D181,$E181*Inputs!$B$6/Inputs!$B$18),2))</f>
        <v/>
      </c>
      <c r="I181" s="25" t="str">
        <f t="shared" si="21"/>
        <v/>
      </c>
      <c r="J181" s="25" t="str">
        <f>IF($E181="","",IF($F181+$G181&gt;0,Inputs!$B$11,0))</f>
        <v/>
      </c>
      <c r="K181" s="25" t="str">
        <f t="shared" si="22"/>
        <v/>
      </c>
      <c r="L181" s="25" t="str">
        <f t="shared" si="23"/>
        <v/>
      </c>
      <c r="M181" s="25" t="str">
        <f t="shared" si="24"/>
        <v/>
      </c>
      <c r="N181" s="84" t="str">
        <f t="shared" si="25"/>
        <v/>
      </c>
      <c r="O181" s="23" t="str">
        <f t="shared" si="26"/>
        <v/>
      </c>
    </row>
    <row r="182" spans="1:15" ht="20" customHeight="1">
      <c r="A182" s="22" t="str">
        <f t="shared" si="20"/>
        <v/>
      </c>
      <c r="B182" s="23" t="str">
        <f>IF($E182="","",176)</f>
        <v/>
      </c>
      <c r="C182" s="24" t="str">
        <f t="shared" si="27"/>
        <v/>
      </c>
      <c r="D182" s="23" t="str">
        <f t="shared" si="28"/>
        <v/>
      </c>
      <c r="E182" s="25" t="str">
        <f t="shared" si="29"/>
        <v/>
      </c>
      <c r="F182" s="25" t="str">
        <f>IF($E182="","",ROUND(MIN(Comparison!$B$5,MAX(0,$E182+$H182)),2))</f>
        <v/>
      </c>
      <c r="G182" s="25" t="str">
        <f>IF($E182="","",ROUND(MIN(Inputs!$B$10,MAX(0,$E182+$H182-$F182)),2))</f>
        <v/>
      </c>
      <c r="H182" s="25" t="str">
        <f>IF($E182="","",ROUND(IF(Inputs!$B$12="Daily Simple Interest",$E182*Inputs!$B$6/Inputs!$B$17*$D182,$E182*Inputs!$B$6/Inputs!$B$18),2))</f>
        <v/>
      </c>
      <c r="I182" s="25" t="str">
        <f t="shared" si="21"/>
        <v/>
      </c>
      <c r="J182" s="25" t="str">
        <f>IF($E182="","",IF($F182+$G182&gt;0,Inputs!$B$11,0))</f>
        <v/>
      </c>
      <c r="K182" s="25" t="str">
        <f t="shared" si="22"/>
        <v/>
      </c>
      <c r="L182" s="25" t="str">
        <f t="shared" si="23"/>
        <v/>
      </c>
      <c r="M182" s="25" t="str">
        <f t="shared" si="24"/>
        <v/>
      </c>
      <c r="N182" s="84" t="str">
        <f t="shared" si="25"/>
        <v/>
      </c>
      <c r="O182" s="23" t="str">
        <f t="shared" si="26"/>
        <v/>
      </c>
    </row>
    <row r="183" spans="1:15" ht="20" customHeight="1">
      <c r="A183" s="22" t="str">
        <f t="shared" si="20"/>
        <v/>
      </c>
      <c r="B183" s="23" t="str">
        <f>IF($E183="","",177)</f>
        <v/>
      </c>
      <c r="C183" s="24" t="str">
        <f t="shared" si="27"/>
        <v/>
      </c>
      <c r="D183" s="23" t="str">
        <f t="shared" si="28"/>
        <v/>
      </c>
      <c r="E183" s="25" t="str">
        <f t="shared" si="29"/>
        <v/>
      </c>
      <c r="F183" s="25" t="str">
        <f>IF($E183="","",ROUND(MIN(Comparison!$B$5,MAX(0,$E183+$H183)),2))</f>
        <v/>
      </c>
      <c r="G183" s="25" t="str">
        <f>IF($E183="","",ROUND(MIN(Inputs!$B$10,MAX(0,$E183+$H183-$F183)),2))</f>
        <v/>
      </c>
      <c r="H183" s="25" t="str">
        <f>IF($E183="","",ROUND(IF(Inputs!$B$12="Daily Simple Interest",$E183*Inputs!$B$6/Inputs!$B$17*$D183,$E183*Inputs!$B$6/Inputs!$B$18),2))</f>
        <v/>
      </c>
      <c r="I183" s="25" t="str">
        <f t="shared" si="21"/>
        <v/>
      </c>
      <c r="J183" s="25" t="str">
        <f>IF($E183="","",IF($F183+$G183&gt;0,Inputs!$B$11,0))</f>
        <v/>
      </c>
      <c r="K183" s="25" t="str">
        <f t="shared" si="22"/>
        <v/>
      </c>
      <c r="L183" s="25" t="str">
        <f t="shared" si="23"/>
        <v/>
      </c>
      <c r="M183" s="25" t="str">
        <f t="shared" si="24"/>
        <v/>
      </c>
      <c r="N183" s="84" t="str">
        <f t="shared" si="25"/>
        <v/>
      </c>
      <c r="O183" s="23" t="str">
        <f t="shared" si="26"/>
        <v/>
      </c>
    </row>
    <row r="184" spans="1:15" ht="20" customHeight="1">
      <c r="A184" s="22" t="str">
        <f t="shared" si="20"/>
        <v/>
      </c>
      <c r="B184" s="23" t="str">
        <f>IF($E184="","",178)</f>
        <v/>
      </c>
      <c r="C184" s="24" t="str">
        <f t="shared" si="27"/>
        <v/>
      </c>
      <c r="D184" s="23" t="str">
        <f t="shared" si="28"/>
        <v/>
      </c>
      <c r="E184" s="25" t="str">
        <f t="shared" si="29"/>
        <v/>
      </c>
      <c r="F184" s="25" t="str">
        <f>IF($E184="","",ROUND(MIN(Comparison!$B$5,MAX(0,$E184+$H184)),2))</f>
        <v/>
      </c>
      <c r="G184" s="25" t="str">
        <f>IF($E184="","",ROUND(MIN(Inputs!$B$10,MAX(0,$E184+$H184-$F184)),2))</f>
        <v/>
      </c>
      <c r="H184" s="25" t="str">
        <f>IF($E184="","",ROUND(IF(Inputs!$B$12="Daily Simple Interest",$E184*Inputs!$B$6/Inputs!$B$17*$D184,$E184*Inputs!$B$6/Inputs!$B$18),2))</f>
        <v/>
      </c>
      <c r="I184" s="25" t="str">
        <f t="shared" si="21"/>
        <v/>
      </c>
      <c r="J184" s="25" t="str">
        <f>IF($E184="","",IF($F184+$G184&gt;0,Inputs!$B$11,0))</f>
        <v/>
      </c>
      <c r="K184" s="25" t="str">
        <f t="shared" si="22"/>
        <v/>
      </c>
      <c r="L184" s="25" t="str">
        <f t="shared" si="23"/>
        <v/>
      </c>
      <c r="M184" s="25" t="str">
        <f t="shared" si="24"/>
        <v/>
      </c>
      <c r="N184" s="84" t="str">
        <f t="shared" si="25"/>
        <v/>
      </c>
      <c r="O184" s="23" t="str">
        <f t="shared" si="26"/>
        <v/>
      </c>
    </row>
    <row r="185" spans="1:15" ht="20" customHeight="1">
      <c r="A185" s="22" t="str">
        <f t="shared" si="20"/>
        <v/>
      </c>
      <c r="B185" s="23" t="str">
        <f>IF($E185="","",179)</f>
        <v/>
      </c>
      <c r="C185" s="24" t="str">
        <f t="shared" si="27"/>
        <v/>
      </c>
      <c r="D185" s="23" t="str">
        <f t="shared" si="28"/>
        <v/>
      </c>
      <c r="E185" s="25" t="str">
        <f t="shared" si="29"/>
        <v/>
      </c>
      <c r="F185" s="25" t="str">
        <f>IF($E185="","",ROUND(MIN(Comparison!$B$5,MAX(0,$E185+$H185)),2))</f>
        <v/>
      </c>
      <c r="G185" s="25" t="str">
        <f>IF($E185="","",ROUND(MIN(Inputs!$B$10,MAX(0,$E185+$H185-$F185)),2))</f>
        <v/>
      </c>
      <c r="H185" s="25" t="str">
        <f>IF($E185="","",ROUND(IF(Inputs!$B$12="Daily Simple Interest",$E185*Inputs!$B$6/Inputs!$B$17*$D185,$E185*Inputs!$B$6/Inputs!$B$18),2))</f>
        <v/>
      </c>
      <c r="I185" s="25" t="str">
        <f t="shared" si="21"/>
        <v/>
      </c>
      <c r="J185" s="25" t="str">
        <f>IF($E185="","",IF($F185+$G185&gt;0,Inputs!$B$11,0))</f>
        <v/>
      </c>
      <c r="K185" s="25" t="str">
        <f t="shared" si="22"/>
        <v/>
      </c>
      <c r="L185" s="25" t="str">
        <f t="shared" si="23"/>
        <v/>
      </c>
      <c r="M185" s="25" t="str">
        <f t="shared" si="24"/>
        <v/>
      </c>
      <c r="N185" s="84" t="str">
        <f t="shared" si="25"/>
        <v/>
      </c>
      <c r="O185" s="23" t="str">
        <f t="shared" si="26"/>
        <v/>
      </c>
    </row>
    <row r="186" spans="1:15" ht="20" customHeight="1">
      <c r="A186" s="22" t="str">
        <f t="shared" si="20"/>
        <v/>
      </c>
      <c r="B186" s="23" t="str">
        <f>IF($E186="","",180)</f>
        <v/>
      </c>
      <c r="C186" s="24" t="str">
        <f t="shared" si="27"/>
        <v/>
      </c>
      <c r="D186" s="23" t="str">
        <f t="shared" si="28"/>
        <v/>
      </c>
      <c r="E186" s="25" t="str">
        <f t="shared" si="29"/>
        <v/>
      </c>
      <c r="F186" s="25" t="str">
        <f>IF($E186="","",ROUND(MIN(Comparison!$B$5,MAX(0,$E186+$H186)),2))</f>
        <v/>
      </c>
      <c r="G186" s="25" t="str">
        <f>IF($E186="","",ROUND(MIN(Inputs!$B$10,MAX(0,$E186+$H186-$F186)),2))</f>
        <v/>
      </c>
      <c r="H186" s="25" t="str">
        <f>IF($E186="","",ROUND(IF(Inputs!$B$12="Daily Simple Interest",$E186*Inputs!$B$6/Inputs!$B$17*$D186,$E186*Inputs!$B$6/Inputs!$B$18),2))</f>
        <v/>
      </c>
      <c r="I186" s="25" t="str">
        <f t="shared" si="21"/>
        <v/>
      </c>
      <c r="J186" s="25" t="str">
        <f>IF($E186="","",IF($F186+$G186&gt;0,Inputs!$B$11,0))</f>
        <v/>
      </c>
      <c r="K186" s="25" t="str">
        <f t="shared" si="22"/>
        <v/>
      </c>
      <c r="L186" s="25" t="str">
        <f t="shared" si="23"/>
        <v/>
      </c>
      <c r="M186" s="25" t="str">
        <f t="shared" si="24"/>
        <v/>
      </c>
      <c r="N186" s="84" t="str">
        <f t="shared" si="25"/>
        <v/>
      </c>
      <c r="O186" s="23" t="str">
        <f t="shared" si="26"/>
        <v/>
      </c>
    </row>
    <row r="187" spans="1:15" ht="20" customHeight="1">
      <c r="A187" s="22" t="str">
        <f t="shared" si="20"/>
        <v/>
      </c>
      <c r="B187" s="23" t="str">
        <f>IF($E187="","",181)</f>
        <v/>
      </c>
      <c r="C187" s="24" t="str">
        <f t="shared" si="27"/>
        <v/>
      </c>
      <c r="D187" s="23" t="str">
        <f t="shared" si="28"/>
        <v/>
      </c>
      <c r="E187" s="25" t="str">
        <f t="shared" si="29"/>
        <v/>
      </c>
      <c r="F187" s="25" t="str">
        <f>IF($E187="","",ROUND(MIN(Comparison!$B$5,MAX(0,$E187+$H187)),2))</f>
        <v/>
      </c>
      <c r="G187" s="25" t="str">
        <f>IF($E187="","",ROUND(MIN(Inputs!$B$10,MAX(0,$E187+$H187-$F187)),2))</f>
        <v/>
      </c>
      <c r="H187" s="25" t="str">
        <f>IF($E187="","",ROUND(IF(Inputs!$B$12="Daily Simple Interest",$E187*Inputs!$B$6/Inputs!$B$17*$D187,$E187*Inputs!$B$6/Inputs!$B$18),2))</f>
        <v/>
      </c>
      <c r="I187" s="25" t="str">
        <f t="shared" si="21"/>
        <v/>
      </c>
      <c r="J187" s="25" t="str">
        <f>IF($E187="","",IF($F187+$G187&gt;0,Inputs!$B$11,0))</f>
        <v/>
      </c>
      <c r="K187" s="25" t="str">
        <f t="shared" si="22"/>
        <v/>
      </c>
      <c r="L187" s="25" t="str">
        <f t="shared" si="23"/>
        <v/>
      </c>
      <c r="M187" s="25" t="str">
        <f t="shared" si="24"/>
        <v/>
      </c>
      <c r="N187" s="84" t="str">
        <f t="shared" si="25"/>
        <v/>
      </c>
      <c r="O187" s="23" t="str">
        <f t="shared" si="26"/>
        <v/>
      </c>
    </row>
    <row r="188" spans="1:15" ht="20" customHeight="1">
      <c r="A188" s="22" t="str">
        <f t="shared" si="20"/>
        <v/>
      </c>
      <c r="B188" s="23" t="str">
        <f>IF($E188="","",182)</f>
        <v/>
      </c>
      <c r="C188" s="24" t="str">
        <f t="shared" si="27"/>
        <v/>
      </c>
      <c r="D188" s="23" t="str">
        <f t="shared" si="28"/>
        <v/>
      </c>
      <c r="E188" s="25" t="str">
        <f t="shared" si="29"/>
        <v/>
      </c>
      <c r="F188" s="25" t="str">
        <f>IF($E188="","",ROUND(MIN(Comparison!$B$5,MAX(0,$E188+$H188)),2))</f>
        <v/>
      </c>
      <c r="G188" s="25" t="str">
        <f>IF($E188="","",ROUND(MIN(Inputs!$B$10,MAX(0,$E188+$H188-$F188)),2))</f>
        <v/>
      </c>
      <c r="H188" s="25" t="str">
        <f>IF($E188="","",ROUND(IF(Inputs!$B$12="Daily Simple Interest",$E188*Inputs!$B$6/Inputs!$B$17*$D188,$E188*Inputs!$B$6/Inputs!$B$18),2))</f>
        <v/>
      </c>
      <c r="I188" s="25" t="str">
        <f t="shared" si="21"/>
        <v/>
      </c>
      <c r="J188" s="25" t="str">
        <f>IF($E188="","",IF($F188+$G188&gt;0,Inputs!$B$11,0))</f>
        <v/>
      </c>
      <c r="K188" s="25" t="str">
        <f t="shared" si="22"/>
        <v/>
      </c>
      <c r="L188" s="25" t="str">
        <f t="shared" si="23"/>
        <v/>
      </c>
      <c r="M188" s="25" t="str">
        <f t="shared" si="24"/>
        <v/>
      </c>
      <c r="N188" s="84" t="str">
        <f t="shared" si="25"/>
        <v/>
      </c>
      <c r="O188" s="23" t="str">
        <f t="shared" si="26"/>
        <v/>
      </c>
    </row>
    <row r="189" spans="1:15" ht="20" customHeight="1">
      <c r="A189" s="22" t="str">
        <f t="shared" si="20"/>
        <v/>
      </c>
      <c r="B189" s="23" t="str">
        <f>IF($E189="","",183)</f>
        <v/>
      </c>
      <c r="C189" s="24" t="str">
        <f t="shared" si="27"/>
        <v/>
      </c>
      <c r="D189" s="23" t="str">
        <f t="shared" si="28"/>
        <v/>
      </c>
      <c r="E189" s="25" t="str">
        <f t="shared" si="29"/>
        <v/>
      </c>
      <c r="F189" s="25" t="str">
        <f>IF($E189="","",ROUND(MIN(Comparison!$B$5,MAX(0,$E189+$H189)),2))</f>
        <v/>
      </c>
      <c r="G189" s="25" t="str">
        <f>IF($E189="","",ROUND(MIN(Inputs!$B$10,MAX(0,$E189+$H189-$F189)),2))</f>
        <v/>
      </c>
      <c r="H189" s="25" t="str">
        <f>IF($E189="","",ROUND(IF(Inputs!$B$12="Daily Simple Interest",$E189*Inputs!$B$6/Inputs!$B$17*$D189,$E189*Inputs!$B$6/Inputs!$B$18),2))</f>
        <v/>
      </c>
      <c r="I189" s="25" t="str">
        <f t="shared" si="21"/>
        <v/>
      </c>
      <c r="J189" s="25" t="str">
        <f>IF($E189="","",IF($F189+$G189&gt;0,Inputs!$B$11,0))</f>
        <v/>
      </c>
      <c r="K189" s="25" t="str">
        <f t="shared" si="22"/>
        <v/>
      </c>
      <c r="L189" s="25" t="str">
        <f t="shared" si="23"/>
        <v/>
      </c>
      <c r="M189" s="25" t="str">
        <f t="shared" si="24"/>
        <v/>
      </c>
      <c r="N189" s="84" t="str">
        <f t="shared" si="25"/>
        <v/>
      </c>
      <c r="O189" s="23" t="str">
        <f t="shared" si="26"/>
        <v/>
      </c>
    </row>
    <row r="190" spans="1:15" ht="20" customHeight="1">
      <c r="A190" s="22" t="str">
        <f t="shared" si="20"/>
        <v/>
      </c>
      <c r="B190" s="23" t="str">
        <f>IF($E190="","",184)</f>
        <v/>
      </c>
      <c r="C190" s="24" t="str">
        <f t="shared" si="27"/>
        <v/>
      </c>
      <c r="D190" s="23" t="str">
        <f t="shared" si="28"/>
        <v/>
      </c>
      <c r="E190" s="25" t="str">
        <f t="shared" si="29"/>
        <v/>
      </c>
      <c r="F190" s="25" t="str">
        <f>IF($E190="","",ROUND(MIN(Comparison!$B$5,MAX(0,$E190+$H190)),2))</f>
        <v/>
      </c>
      <c r="G190" s="25" t="str">
        <f>IF($E190="","",ROUND(MIN(Inputs!$B$10,MAX(0,$E190+$H190-$F190)),2))</f>
        <v/>
      </c>
      <c r="H190" s="25" t="str">
        <f>IF($E190="","",ROUND(IF(Inputs!$B$12="Daily Simple Interest",$E190*Inputs!$B$6/Inputs!$B$17*$D190,$E190*Inputs!$B$6/Inputs!$B$18),2))</f>
        <v/>
      </c>
      <c r="I190" s="25" t="str">
        <f t="shared" si="21"/>
        <v/>
      </c>
      <c r="J190" s="25" t="str">
        <f>IF($E190="","",IF($F190+$G190&gt;0,Inputs!$B$11,0))</f>
        <v/>
      </c>
      <c r="K190" s="25" t="str">
        <f t="shared" si="22"/>
        <v/>
      </c>
      <c r="L190" s="25" t="str">
        <f t="shared" si="23"/>
        <v/>
      </c>
      <c r="M190" s="25" t="str">
        <f t="shared" si="24"/>
        <v/>
      </c>
      <c r="N190" s="84" t="str">
        <f t="shared" si="25"/>
        <v/>
      </c>
      <c r="O190" s="23" t="str">
        <f t="shared" si="26"/>
        <v/>
      </c>
    </row>
    <row r="191" spans="1:15" ht="20" customHeight="1">
      <c r="A191" s="22" t="str">
        <f t="shared" si="20"/>
        <v/>
      </c>
      <c r="B191" s="23" t="str">
        <f>IF($E191="","",185)</f>
        <v/>
      </c>
      <c r="C191" s="24" t="str">
        <f t="shared" si="27"/>
        <v/>
      </c>
      <c r="D191" s="23" t="str">
        <f t="shared" si="28"/>
        <v/>
      </c>
      <c r="E191" s="25" t="str">
        <f t="shared" si="29"/>
        <v/>
      </c>
      <c r="F191" s="25" t="str">
        <f>IF($E191="","",ROUND(MIN(Comparison!$B$5,MAX(0,$E191+$H191)),2))</f>
        <v/>
      </c>
      <c r="G191" s="25" t="str">
        <f>IF($E191="","",ROUND(MIN(Inputs!$B$10,MAX(0,$E191+$H191-$F191)),2))</f>
        <v/>
      </c>
      <c r="H191" s="25" t="str">
        <f>IF($E191="","",ROUND(IF(Inputs!$B$12="Daily Simple Interest",$E191*Inputs!$B$6/Inputs!$B$17*$D191,$E191*Inputs!$B$6/Inputs!$B$18),2))</f>
        <v/>
      </c>
      <c r="I191" s="25" t="str">
        <f t="shared" si="21"/>
        <v/>
      </c>
      <c r="J191" s="25" t="str">
        <f>IF($E191="","",IF($F191+$G191&gt;0,Inputs!$B$11,0))</f>
        <v/>
      </c>
      <c r="K191" s="25" t="str">
        <f t="shared" si="22"/>
        <v/>
      </c>
      <c r="L191" s="25" t="str">
        <f t="shared" si="23"/>
        <v/>
      </c>
      <c r="M191" s="25" t="str">
        <f t="shared" si="24"/>
        <v/>
      </c>
      <c r="N191" s="84" t="str">
        <f t="shared" si="25"/>
        <v/>
      </c>
      <c r="O191" s="23" t="str">
        <f t="shared" si="26"/>
        <v/>
      </c>
    </row>
    <row r="192" spans="1:15" ht="20" customHeight="1">
      <c r="A192" s="22" t="str">
        <f t="shared" si="20"/>
        <v/>
      </c>
      <c r="B192" s="23" t="str">
        <f>IF($E192="","",186)</f>
        <v/>
      </c>
      <c r="C192" s="24" t="str">
        <f t="shared" si="27"/>
        <v/>
      </c>
      <c r="D192" s="23" t="str">
        <f t="shared" si="28"/>
        <v/>
      </c>
      <c r="E192" s="25" t="str">
        <f t="shared" si="29"/>
        <v/>
      </c>
      <c r="F192" s="25" t="str">
        <f>IF($E192="","",ROUND(MIN(Comparison!$B$5,MAX(0,$E192+$H192)),2))</f>
        <v/>
      </c>
      <c r="G192" s="25" t="str">
        <f>IF($E192="","",ROUND(MIN(Inputs!$B$10,MAX(0,$E192+$H192-$F192)),2))</f>
        <v/>
      </c>
      <c r="H192" s="25" t="str">
        <f>IF($E192="","",ROUND(IF(Inputs!$B$12="Daily Simple Interest",$E192*Inputs!$B$6/Inputs!$B$17*$D192,$E192*Inputs!$B$6/Inputs!$B$18),2))</f>
        <v/>
      </c>
      <c r="I192" s="25" t="str">
        <f t="shared" si="21"/>
        <v/>
      </c>
      <c r="J192" s="25" t="str">
        <f>IF($E192="","",IF($F192+$G192&gt;0,Inputs!$B$11,0))</f>
        <v/>
      </c>
      <c r="K192" s="25" t="str">
        <f t="shared" si="22"/>
        <v/>
      </c>
      <c r="L192" s="25" t="str">
        <f t="shared" si="23"/>
        <v/>
      </c>
      <c r="M192" s="25" t="str">
        <f t="shared" si="24"/>
        <v/>
      </c>
      <c r="N192" s="84" t="str">
        <f t="shared" si="25"/>
        <v/>
      </c>
      <c r="O192" s="23" t="str">
        <f t="shared" si="26"/>
        <v/>
      </c>
    </row>
    <row r="193" spans="1:15" ht="20" customHeight="1">
      <c r="A193" s="22" t="str">
        <f t="shared" si="20"/>
        <v/>
      </c>
      <c r="B193" s="23" t="str">
        <f>IF($E193="","",187)</f>
        <v/>
      </c>
      <c r="C193" s="24" t="str">
        <f t="shared" si="27"/>
        <v/>
      </c>
      <c r="D193" s="23" t="str">
        <f t="shared" si="28"/>
        <v/>
      </c>
      <c r="E193" s="25" t="str">
        <f t="shared" si="29"/>
        <v/>
      </c>
      <c r="F193" s="25" t="str">
        <f>IF($E193="","",ROUND(MIN(Comparison!$B$5,MAX(0,$E193+$H193)),2))</f>
        <v/>
      </c>
      <c r="G193" s="25" t="str">
        <f>IF($E193="","",ROUND(MIN(Inputs!$B$10,MAX(0,$E193+$H193-$F193)),2))</f>
        <v/>
      </c>
      <c r="H193" s="25" t="str">
        <f>IF($E193="","",ROUND(IF(Inputs!$B$12="Daily Simple Interest",$E193*Inputs!$B$6/Inputs!$B$17*$D193,$E193*Inputs!$B$6/Inputs!$B$18),2))</f>
        <v/>
      </c>
      <c r="I193" s="25" t="str">
        <f t="shared" si="21"/>
        <v/>
      </c>
      <c r="J193" s="25" t="str">
        <f>IF($E193="","",IF($F193+$G193&gt;0,Inputs!$B$11,0))</f>
        <v/>
      </c>
      <c r="K193" s="25" t="str">
        <f t="shared" si="22"/>
        <v/>
      </c>
      <c r="L193" s="25" t="str">
        <f t="shared" si="23"/>
        <v/>
      </c>
      <c r="M193" s="25" t="str">
        <f t="shared" si="24"/>
        <v/>
      </c>
      <c r="N193" s="84" t="str">
        <f t="shared" si="25"/>
        <v/>
      </c>
      <c r="O193" s="23" t="str">
        <f t="shared" si="26"/>
        <v/>
      </c>
    </row>
    <row r="194" spans="1:15" ht="20" customHeight="1">
      <c r="A194" s="22" t="str">
        <f t="shared" si="20"/>
        <v/>
      </c>
      <c r="B194" s="23" t="str">
        <f>IF($E194="","",188)</f>
        <v/>
      </c>
      <c r="C194" s="24" t="str">
        <f t="shared" si="27"/>
        <v/>
      </c>
      <c r="D194" s="23" t="str">
        <f t="shared" si="28"/>
        <v/>
      </c>
      <c r="E194" s="25" t="str">
        <f t="shared" si="29"/>
        <v/>
      </c>
      <c r="F194" s="25" t="str">
        <f>IF($E194="","",ROUND(MIN(Comparison!$B$5,MAX(0,$E194+$H194)),2))</f>
        <v/>
      </c>
      <c r="G194" s="25" t="str">
        <f>IF($E194="","",ROUND(MIN(Inputs!$B$10,MAX(0,$E194+$H194-$F194)),2))</f>
        <v/>
      </c>
      <c r="H194" s="25" t="str">
        <f>IF($E194="","",ROUND(IF(Inputs!$B$12="Daily Simple Interest",$E194*Inputs!$B$6/Inputs!$B$17*$D194,$E194*Inputs!$B$6/Inputs!$B$18),2))</f>
        <v/>
      </c>
      <c r="I194" s="25" t="str">
        <f t="shared" si="21"/>
        <v/>
      </c>
      <c r="J194" s="25" t="str">
        <f>IF($E194="","",IF($F194+$G194&gt;0,Inputs!$B$11,0))</f>
        <v/>
      </c>
      <c r="K194" s="25" t="str">
        <f t="shared" si="22"/>
        <v/>
      </c>
      <c r="L194" s="25" t="str">
        <f t="shared" si="23"/>
        <v/>
      </c>
      <c r="M194" s="25" t="str">
        <f t="shared" si="24"/>
        <v/>
      </c>
      <c r="N194" s="84" t="str">
        <f t="shared" si="25"/>
        <v/>
      </c>
      <c r="O194" s="23" t="str">
        <f t="shared" si="26"/>
        <v/>
      </c>
    </row>
    <row r="195" spans="1:15" ht="20" customHeight="1">
      <c r="A195" s="22" t="str">
        <f t="shared" si="20"/>
        <v/>
      </c>
      <c r="B195" s="23" t="str">
        <f>IF($E195="","",189)</f>
        <v/>
      </c>
      <c r="C195" s="24" t="str">
        <f t="shared" si="27"/>
        <v/>
      </c>
      <c r="D195" s="23" t="str">
        <f t="shared" si="28"/>
        <v/>
      </c>
      <c r="E195" s="25" t="str">
        <f t="shared" si="29"/>
        <v/>
      </c>
      <c r="F195" s="25" t="str">
        <f>IF($E195="","",ROUND(MIN(Comparison!$B$5,MAX(0,$E195+$H195)),2))</f>
        <v/>
      </c>
      <c r="G195" s="25" t="str">
        <f>IF($E195="","",ROUND(MIN(Inputs!$B$10,MAX(0,$E195+$H195-$F195)),2))</f>
        <v/>
      </c>
      <c r="H195" s="25" t="str">
        <f>IF($E195="","",ROUND(IF(Inputs!$B$12="Daily Simple Interest",$E195*Inputs!$B$6/Inputs!$B$17*$D195,$E195*Inputs!$B$6/Inputs!$B$18),2))</f>
        <v/>
      </c>
      <c r="I195" s="25" t="str">
        <f t="shared" si="21"/>
        <v/>
      </c>
      <c r="J195" s="25" t="str">
        <f>IF($E195="","",IF($F195+$G195&gt;0,Inputs!$B$11,0))</f>
        <v/>
      </c>
      <c r="K195" s="25" t="str">
        <f t="shared" si="22"/>
        <v/>
      </c>
      <c r="L195" s="25" t="str">
        <f t="shared" si="23"/>
        <v/>
      </c>
      <c r="M195" s="25" t="str">
        <f t="shared" si="24"/>
        <v/>
      </c>
      <c r="N195" s="84" t="str">
        <f t="shared" si="25"/>
        <v/>
      </c>
      <c r="O195" s="23" t="str">
        <f t="shared" si="26"/>
        <v/>
      </c>
    </row>
    <row r="196" spans="1:15" ht="20" customHeight="1">
      <c r="A196" s="22" t="str">
        <f t="shared" si="20"/>
        <v/>
      </c>
      <c r="B196" s="23" t="str">
        <f>IF($E196="","",190)</f>
        <v/>
      </c>
      <c r="C196" s="24" t="str">
        <f t="shared" si="27"/>
        <v/>
      </c>
      <c r="D196" s="23" t="str">
        <f t="shared" si="28"/>
        <v/>
      </c>
      <c r="E196" s="25" t="str">
        <f t="shared" si="29"/>
        <v/>
      </c>
      <c r="F196" s="25" t="str">
        <f>IF($E196="","",ROUND(MIN(Comparison!$B$5,MAX(0,$E196+$H196)),2))</f>
        <v/>
      </c>
      <c r="G196" s="25" t="str">
        <f>IF($E196="","",ROUND(MIN(Inputs!$B$10,MAX(0,$E196+$H196-$F196)),2))</f>
        <v/>
      </c>
      <c r="H196" s="25" t="str">
        <f>IF($E196="","",ROUND(IF(Inputs!$B$12="Daily Simple Interest",$E196*Inputs!$B$6/Inputs!$B$17*$D196,$E196*Inputs!$B$6/Inputs!$B$18),2))</f>
        <v/>
      </c>
      <c r="I196" s="25" t="str">
        <f t="shared" si="21"/>
        <v/>
      </c>
      <c r="J196" s="25" t="str">
        <f>IF($E196="","",IF($F196+$G196&gt;0,Inputs!$B$11,0))</f>
        <v/>
      </c>
      <c r="K196" s="25" t="str">
        <f t="shared" si="22"/>
        <v/>
      </c>
      <c r="L196" s="25" t="str">
        <f t="shared" si="23"/>
        <v/>
      </c>
      <c r="M196" s="25" t="str">
        <f t="shared" si="24"/>
        <v/>
      </c>
      <c r="N196" s="84" t="str">
        <f t="shared" si="25"/>
        <v/>
      </c>
      <c r="O196" s="23" t="str">
        <f t="shared" si="26"/>
        <v/>
      </c>
    </row>
    <row r="197" spans="1:15" ht="20" customHeight="1">
      <c r="A197" s="22" t="str">
        <f t="shared" si="20"/>
        <v/>
      </c>
      <c r="B197" s="23" t="str">
        <f>IF($E197="","",191)</f>
        <v/>
      </c>
      <c r="C197" s="24" t="str">
        <f t="shared" si="27"/>
        <v/>
      </c>
      <c r="D197" s="23" t="str">
        <f t="shared" si="28"/>
        <v/>
      </c>
      <c r="E197" s="25" t="str">
        <f t="shared" si="29"/>
        <v/>
      </c>
      <c r="F197" s="25" t="str">
        <f>IF($E197="","",ROUND(MIN(Comparison!$B$5,MAX(0,$E197+$H197)),2))</f>
        <v/>
      </c>
      <c r="G197" s="25" t="str">
        <f>IF($E197="","",ROUND(MIN(Inputs!$B$10,MAX(0,$E197+$H197-$F197)),2))</f>
        <v/>
      </c>
      <c r="H197" s="25" t="str">
        <f>IF($E197="","",ROUND(IF(Inputs!$B$12="Daily Simple Interest",$E197*Inputs!$B$6/Inputs!$B$17*$D197,$E197*Inputs!$B$6/Inputs!$B$18),2))</f>
        <v/>
      </c>
      <c r="I197" s="25" t="str">
        <f t="shared" si="21"/>
        <v/>
      </c>
      <c r="J197" s="25" t="str">
        <f>IF($E197="","",IF($F197+$G197&gt;0,Inputs!$B$11,0))</f>
        <v/>
      </c>
      <c r="K197" s="25" t="str">
        <f t="shared" si="22"/>
        <v/>
      </c>
      <c r="L197" s="25" t="str">
        <f t="shared" si="23"/>
        <v/>
      </c>
      <c r="M197" s="25" t="str">
        <f t="shared" si="24"/>
        <v/>
      </c>
      <c r="N197" s="84" t="str">
        <f t="shared" si="25"/>
        <v/>
      </c>
      <c r="O197" s="23" t="str">
        <f t="shared" si="26"/>
        <v/>
      </c>
    </row>
    <row r="198" spans="1:15" ht="20" customHeight="1">
      <c r="A198" s="22" t="str">
        <f t="shared" si="20"/>
        <v/>
      </c>
      <c r="B198" s="23" t="str">
        <f>IF($E198="","",192)</f>
        <v/>
      </c>
      <c r="C198" s="24" t="str">
        <f t="shared" si="27"/>
        <v/>
      </c>
      <c r="D198" s="23" t="str">
        <f t="shared" si="28"/>
        <v/>
      </c>
      <c r="E198" s="25" t="str">
        <f t="shared" si="29"/>
        <v/>
      </c>
      <c r="F198" s="25" t="str">
        <f>IF($E198="","",ROUND(MIN(Comparison!$B$5,MAX(0,$E198+$H198)),2))</f>
        <v/>
      </c>
      <c r="G198" s="25" t="str">
        <f>IF($E198="","",ROUND(MIN(Inputs!$B$10,MAX(0,$E198+$H198-$F198)),2))</f>
        <v/>
      </c>
      <c r="H198" s="25" t="str">
        <f>IF($E198="","",ROUND(IF(Inputs!$B$12="Daily Simple Interest",$E198*Inputs!$B$6/Inputs!$B$17*$D198,$E198*Inputs!$B$6/Inputs!$B$18),2))</f>
        <v/>
      </c>
      <c r="I198" s="25" t="str">
        <f t="shared" si="21"/>
        <v/>
      </c>
      <c r="J198" s="25" t="str">
        <f>IF($E198="","",IF($F198+$G198&gt;0,Inputs!$B$11,0))</f>
        <v/>
      </c>
      <c r="K198" s="25" t="str">
        <f t="shared" si="22"/>
        <v/>
      </c>
      <c r="L198" s="25" t="str">
        <f t="shared" si="23"/>
        <v/>
      </c>
      <c r="M198" s="25" t="str">
        <f t="shared" si="24"/>
        <v/>
      </c>
      <c r="N198" s="84" t="str">
        <f t="shared" si="25"/>
        <v/>
      </c>
      <c r="O198" s="23" t="str">
        <f t="shared" si="26"/>
        <v/>
      </c>
    </row>
    <row r="199" spans="1:15" ht="20" customHeight="1">
      <c r="A199" s="22" t="str">
        <f t="shared" ref="A199:A262" si="30">IF($E199="","","Monthly")</f>
        <v/>
      </c>
      <c r="B199" s="23" t="str">
        <f>IF($E199="","",193)</f>
        <v/>
      </c>
      <c r="C199" s="24" t="str">
        <f t="shared" si="27"/>
        <v/>
      </c>
      <c r="D199" s="23" t="str">
        <f t="shared" si="28"/>
        <v/>
      </c>
      <c r="E199" s="25" t="str">
        <f t="shared" si="29"/>
        <v/>
      </c>
      <c r="F199" s="25" t="str">
        <f>IF($E199="","",ROUND(MIN(Comparison!$B$5,MAX(0,$E199+$H199)),2))</f>
        <v/>
      </c>
      <c r="G199" s="25" t="str">
        <f>IF($E199="","",ROUND(MIN(Inputs!$B$10,MAX(0,$E199+$H199-$F199)),2))</f>
        <v/>
      </c>
      <c r="H199" s="25" t="str">
        <f>IF($E199="","",ROUND(IF(Inputs!$B$12="Daily Simple Interest",$E199*Inputs!$B$6/Inputs!$B$17*$D199,$E199*Inputs!$B$6/Inputs!$B$18),2))</f>
        <v/>
      </c>
      <c r="I199" s="25" t="str">
        <f t="shared" ref="I199:I262" si="31">IF($E199="","",ROUND($F199+$G199-$H199,2))</f>
        <v/>
      </c>
      <c r="J199" s="25" t="str">
        <f>IF($E199="","",IF($F199+$G199&gt;0,Inputs!$B$11,0))</f>
        <v/>
      </c>
      <c r="K199" s="25" t="str">
        <f t="shared" ref="K199:K262" si="32">IF($E199="","",ROUND(MAX(0,$E199-$I199),2))</f>
        <v/>
      </c>
      <c r="L199" s="25" t="str">
        <f t="shared" ref="L199:L262" si="33">IF($E199="","",$F199+$G199)</f>
        <v/>
      </c>
      <c r="M199" s="25" t="str">
        <f t="shared" ref="M199:M262" si="34">IF($E199="","",0)</f>
        <v/>
      </c>
      <c r="N199" s="84" t="str">
        <f t="shared" ref="N199:N262" si="35">IF($E199="","",IF($K199&lt;=0.005,"PAID OFF","ACTIVE"))</f>
        <v/>
      </c>
      <c r="O199" s="23" t="str">
        <f t="shared" ref="O199:O262" si="36">IF($E199="","",IF($F199+$G199&gt;0,1,0))</f>
        <v/>
      </c>
    </row>
    <row r="200" spans="1:15" ht="20" customHeight="1">
      <c r="A200" s="22" t="str">
        <f t="shared" si="30"/>
        <v/>
      </c>
      <c r="B200" s="23" t="str">
        <f>IF($E200="","",194)</f>
        <v/>
      </c>
      <c r="C200" s="24" t="str">
        <f t="shared" ref="C200:C263" si="37">IF($E200="","",EDATE($C199,1))</f>
        <v/>
      </c>
      <c r="D200" s="23" t="str">
        <f t="shared" ref="D200:D263" si="38">IF($E200="","",$C200-$C199)</f>
        <v/>
      </c>
      <c r="E200" s="25" t="str">
        <f t="shared" ref="E200:E263" si="39">IF($K199&gt;0.005,$K199,"")</f>
        <v/>
      </c>
      <c r="F200" s="25" t="str">
        <f>IF($E200="","",ROUND(MIN(Comparison!$B$5,MAX(0,$E200+$H200)),2))</f>
        <v/>
      </c>
      <c r="G200" s="25" t="str">
        <f>IF($E200="","",ROUND(MIN(Inputs!$B$10,MAX(0,$E200+$H200-$F200)),2))</f>
        <v/>
      </c>
      <c r="H200" s="25" t="str">
        <f>IF($E200="","",ROUND(IF(Inputs!$B$12="Daily Simple Interest",$E200*Inputs!$B$6/Inputs!$B$17*$D200,$E200*Inputs!$B$6/Inputs!$B$18),2))</f>
        <v/>
      </c>
      <c r="I200" s="25" t="str">
        <f t="shared" si="31"/>
        <v/>
      </c>
      <c r="J200" s="25" t="str">
        <f>IF($E200="","",IF($F200+$G200&gt;0,Inputs!$B$11,0))</f>
        <v/>
      </c>
      <c r="K200" s="25" t="str">
        <f t="shared" si="32"/>
        <v/>
      </c>
      <c r="L200" s="25" t="str">
        <f t="shared" si="33"/>
        <v/>
      </c>
      <c r="M200" s="25" t="str">
        <f t="shared" si="34"/>
        <v/>
      </c>
      <c r="N200" s="84" t="str">
        <f t="shared" si="35"/>
        <v/>
      </c>
      <c r="O200" s="23" t="str">
        <f t="shared" si="36"/>
        <v/>
      </c>
    </row>
    <row r="201" spans="1:15" ht="20" customHeight="1">
      <c r="A201" s="22" t="str">
        <f t="shared" si="30"/>
        <v/>
      </c>
      <c r="B201" s="23" t="str">
        <f>IF($E201="","",195)</f>
        <v/>
      </c>
      <c r="C201" s="24" t="str">
        <f t="shared" si="37"/>
        <v/>
      </c>
      <c r="D201" s="23" t="str">
        <f t="shared" si="38"/>
        <v/>
      </c>
      <c r="E201" s="25" t="str">
        <f t="shared" si="39"/>
        <v/>
      </c>
      <c r="F201" s="25" t="str">
        <f>IF($E201="","",ROUND(MIN(Comparison!$B$5,MAX(0,$E201+$H201)),2))</f>
        <v/>
      </c>
      <c r="G201" s="25" t="str">
        <f>IF($E201="","",ROUND(MIN(Inputs!$B$10,MAX(0,$E201+$H201-$F201)),2))</f>
        <v/>
      </c>
      <c r="H201" s="25" t="str">
        <f>IF($E201="","",ROUND(IF(Inputs!$B$12="Daily Simple Interest",$E201*Inputs!$B$6/Inputs!$B$17*$D201,$E201*Inputs!$B$6/Inputs!$B$18),2))</f>
        <v/>
      </c>
      <c r="I201" s="25" t="str">
        <f t="shared" si="31"/>
        <v/>
      </c>
      <c r="J201" s="25" t="str">
        <f>IF($E201="","",IF($F201+$G201&gt;0,Inputs!$B$11,0))</f>
        <v/>
      </c>
      <c r="K201" s="25" t="str">
        <f t="shared" si="32"/>
        <v/>
      </c>
      <c r="L201" s="25" t="str">
        <f t="shared" si="33"/>
        <v/>
      </c>
      <c r="M201" s="25" t="str">
        <f t="shared" si="34"/>
        <v/>
      </c>
      <c r="N201" s="84" t="str">
        <f t="shared" si="35"/>
        <v/>
      </c>
      <c r="O201" s="23" t="str">
        <f t="shared" si="36"/>
        <v/>
      </c>
    </row>
    <row r="202" spans="1:15" ht="20" customHeight="1">
      <c r="A202" s="22" t="str">
        <f t="shared" si="30"/>
        <v/>
      </c>
      <c r="B202" s="23" t="str">
        <f>IF($E202="","",196)</f>
        <v/>
      </c>
      <c r="C202" s="24" t="str">
        <f t="shared" si="37"/>
        <v/>
      </c>
      <c r="D202" s="23" t="str">
        <f t="shared" si="38"/>
        <v/>
      </c>
      <c r="E202" s="25" t="str">
        <f t="shared" si="39"/>
        <v/>
      </c>
      <c r="F202" s="25" t="str">
        <f>IF($E202="","",ROUND(MIN(Comparison!$B$5,MAX(0,$E202+$H202)),2))</f>
        <v/>
      </c>
      <c r="G202" s="25" t="str">
        <f>IF($E202="","",ROUND(MIN(Inputs!$B$10,MAX(0,$E202+$H202-$F202)),2))</f>
        <v/>
      </c>
      <c r="H202" s="25" t="str">
        <f>IF($E202="","",ROUND(IF(Inputs!$B$12="Daily Simple Interest",$E202*Inputs!$B$6/Inputs!$B$17*$D202,$E202*Inputs!$B$6/Inputs!$B$18),2))</f>
        <v/>
      </c>
      <c r="I202" s="25" t="str">
        <f t="shared" si="31"/>
        <v/>
      </c>
      <c r="J202" s="25" t="str">
        <f>IF($E202="","",IF($F202+$G202&gt;0,Inputs!$B$11,0))</f>
        <v/>
      </c>
      <c r="K202" s="25" t="str">
        <f t="shared" si="32"/>
        <v/>
      </c>
      <c r="L202" s="25" t="str">
        <f t="shared" si="33"/>
        <v/>
      </c>
      <c r="M202" s="25" t="str">
        <f t="shared" si="34"/>
        <v/>
      </c>
      <c r="N202" s="84" t="str">
        <f t="shared" si="35"/>
        <v/>
      </c>
      <c r="O202" s="23" t="str">
        <f t="shared" si="36"/>
        <v/>
      </c>
    </row>
    <row r="203" spans="1:15" ht="20" customHeight="1">
      <c r="A203" s="22" t="str">
        <f t="shared" si="30"/>
        <v/>
      </c>
      <c r="B203" s="23" t="str">
        <f>IF($E203="","",197)</f>
        <v/>
      </c>
      <c r="C203" s="24" t="str">
        <f t="shared" si="37"/>
        <v/>
      </c>
      <c r="D203" s="23" t="str">
        <f t="shared" si="38"/>
        <v/>
      </c>
      <c r="E203" s="25" t="str">
        <f t="shared" si="39"/>
        <v/>
      </c>
      <c r="F203" s="25" t="str">
        <f>IF($E203="","",ROUND(MIN(Comparison!$B$5,MAX(0,$E203+$H203)),2))</f>
        <v/>
      </c>
      <c r="G203" s="25" t="str">
        <f>IF($E203="","",ROUND(MIN(Inputs!$B$10,MAX(0,$E203+$H203-$F203)),2))</f>
        <v/>
      </c>
      <c r="H203" s="25" t="str">
        <f>IF($E203="","",ROUND(IF(Inputs!$B$12="Daily Simple Interest",$E203*Inputs!$B$6/Inputs!$B$17*$D203,$E203*Inputs!$B$6/Inputs!$B$18),2))</f>
        <v/>
      </c>
      <c r="I203" s="25" t="str">
        <f t="shared" si="31"/>
        <v/>
      </c>
      <c r="J203" s="25" t="str">
        <f>IF($E203="","",IF($F203+$G203&gt;0,Inputs!$B$11,0))</f>
        <v/>
      </c>
      <c r="K203" s="25" t="str">
        <f t="shared" si="32"/>
        <v/>
      </c>
      <c r="L203" s="25" t="str">
        <f t="shared" si="33"/>
        <v/>
      </c>
      <c r="M203" s="25" t="str">
        <f t="shared" si="34"/>
        <v/>
      </c>
      <c r="N203" s="84" t="str">
        <f t="shared" si="35"/>
        <v/>
      </c>
      <c r="O203" s="23" t="str">
        <f t="shared" si="36"/>
        <v/>
      </c>
    </row>
    <row r="204" spans="1:15" ht="20" customHeight="1">
      <c r="A204" s="22" t="str">
        <f t="shared" si="30"/>
        <v/>
      </c>
      <c r="B204" s="23" t="str">
        <f>IF($E204="","",198)</f>
        <v/>
      </c>
      <c r="C204" s="24" t="str">
        <f t="shared" si="37"/>
        <v/>
      </c>
      <c r="D204" s="23" t="str">
        <f t="shared" si="38"/>
        <v/>
      </c>
      <c r="E204" s="25" t="str">
        <f t="shared" si="39"/>
        <v/>
      </c>
      <c r="F204" s="25" t="str">
        <f>IF($E204="","",ROUND(MIN(Comparison!$B$5,MAX(0,$E204+$H204)),2))</f>
        <v/>
      </c>
      <c r="G204" s="25" t="str">
        <f>IF($E204="","",ROUND(MIN(Inputs!$B$10,MAX(0,$E204+$H204-$F204)),2))</f>
        <v/>
      </c>
      <c r="H204" s="25" t="str">
        <f>IF($E204="","",ROUND(IF(Inputs!$B$12="Daily Simple Interest",$E204*Inputs!$B$6/Inputs!$B$17*$D204,$E204*Inputs!$B$6/Inputs!$B$18),2))</f>
        <v/>
      </c>
      <c r="I204" s="25" t="str">
        <f t="shared" si="31"/>
        <v/>
      </c>
      <c r="J204" s="25" t="str">
        <f>IF($E204="","",IF($F204+$G204&gt;0,Inputs!$B$11,0))</f>
        <v/>
      </c>
      <c r="K204" s="25" t="str">
        <f t="shared" si="32"/>
        <v/>
      </c>
      <c r="L204" s="25" t="str">
        <f t="shared" si="33"/>
        <v/>
      </c>
      <c r="M204" s="25" t="str">
        <f t="shared" si="34"/>
        <v/>
      </c>
      <c r="N204" s="84" t="str">
        <f t="shared" si="35"/>
        <v/>
      </c>
      <c r="O204" s="23" t="str">
        <f t="shared" si="36"/>
        <v/>
      </c>
    </row>
    <row r="205" spans="1:15" ht="20" customHeight="1">
      <c r="A205" s="22" t="str">
        <f t="shared" si="30"/>
        <v/>
      </c>
      <c r="B205" s="23" t="str">
        <f>IF($E205="","",199)</f>
        <v/>
      </c>
      <c r="C205" s="24" t="str">
        <f t="shared" si="37"/>
        <v/>
      </c>
      <c r="D205" s="23" t="str">
        <f t="shared" si="38"/>
        <v/>
      </c>
      <c r="E205" s="25" t="str">
        <f t="shared" si="39"/>
        <v/>
      </c>
      <c r="F205" s="25" t="str">
        <f>IF($E205="","",ROUND(MIN(Comparison!$B$5,MAX(0,$E205+$H205)),2))</f>
        <v/>
      </c>
      <c r="G205" s="25" t="str">
        <f>IF($E205="","",ROUND(MIN(Inputs!$B$10,MAX(0,$E205+$H205-$F205)),2))</f>
        <v/>
      </c>
      <c r="H205" s="25" t="str">
        <f>IF($E205="","",ROUND(IF(Inputs!$B$12="Daily Simple Interest",$E205*Inputs!$B$6/Inputs!$B$17*$D205,$E205*Inputs!$B$6/Inputs!$B$18),2))</f>
        <v/>
      </c>
      <c r="I205" s="25" t="str">
        <f t="shared" si="31"/>
        <v/>
      </c>
      <c r="J205" s="25" t="str">
        <f>IF($E205="","",IF($F205+$G205&gt;0,Inputs!$B$11,0))</f>
        <v/>
      </c>
      <c r="K205" s="25" t="str">
        <f t="shared" si="32"/>
        <v/>
      </c>
      <c r="L205" s="25" t="str">
        <f t="shared" si="33"/>
        <v/>
      </c>
      <c r="M205" s="25" t="str">
        <f t="shared" si="34"/>
        <v/>
      </c>
      <c r="N205" s="84" t="str">
        <f t="shared" si="35"/>
        <v/>
      </c>
      <c r="O205" s="23" t="str">
        <f t="shared" si="36"/>
        <v/>
      </c>
    </row>
    <row r="206" spans="1:15" ht="20" customHeight="1">
      <c r="A206" s="22" t="str">
        <f t="shared" si="30"/>
        <v/>
      </c>
      <c r="B206" s="23" t="str">
        <f>IF($E206="","",200)</f>
        <v/>
      </c>
      <c r="C206" s="24" t="str">
        <f t="shared" si="37"/>
        <v/>
      </c>
      <c r="D206" s="23" t="str">
        <f t="shared" si="38"/>
        <v/>
      </c>
      <c r="E206" s="25" t="str">
        <f t="shared" si="39"/>
        <v/>
      </c>
      <c r="F206" s="25" t="str">
        <f>IF($E206="","",ROUND(MIN(Comparison!$B$5,MAX(0,$E206+$H206)),2))</f>
        <v/>
      </c>
      <c r="G206" s="25" t="str">
        <f>IF($E206="","",ROUND(MIN(Inputs!$B$10,MAX(0,$E206+$H206-$F206)),2))</f>
        <v/>
      </c>
      <c r="H206" s="25" t="str">
        <f>IF($E206="","",ROUND(IF(Inputs!$B$12="Daily Simple Interest",$E206*Inputs!$B$6/Inputs!$B$17*$D206,$E206*Inputs!$B$6/Inputs!$B$18),2))</f>
        <v/>
      </c>
      <c r="I206" s="25" t="str">
        <f t="shared" si="31"/>
        <v/>
      </c>
      <c r="J206" s="25" t="str">
        <f>IF($E206="","",IF($F206+$G206&gt;0,Inputs!$B$11,0))</f>
        <v/>
      </c>
      <c r="K206" s="25" t="str">
        <f t="shared" si="32"/>
        <v/>
      </c>
      <c r="L206" s="25" t="str">
        <f t="shared" si="33"/>
        <v/>
      </c>
      <c r="M206" s="25" t="str">
        <f t="shared" si="34"/>
        <v/>
      </c>
      <c r="N206" s="84" t="str">
        <f t="shared" si="35"/>
        <v/>
      </c>
      <c r="O206" s="23" t="str">
        <f t="shared" si="36"/>
        <v/>
      </c>
    </row>
    <row r="207" spans="1:15" ht="20" customHeight="1">
      <c r="A207" s="22" t="str">
        <f t="shared" si="30"/>
        <v/>
      </c>
      <c r="B207" s="23" t="str">
        <f>IF($E207="","",201)</f>
        <v/>
      </c>
      <c r="C207" s="24" t="str">
        <f t="shared" si="37"/>
        <v/>
      </c>
      <c r="D207" s="23" t="str">
        <f t="shared" si="38"/>
        <v/>
      </c>
      <c r="E207" s="25" t="str">
        <f t="shared" si="39"/>
        <v/>
      </c>
      <c r="F207" s="25" t="str">
        <f>IF($E207="","",ROUND(MIN(Comparison!$B$5,MAX(0,$E207+$H207)),2))</f>
        <v/>
      </c>
      <c r="G207" s="25" t="str">
        <f>IF($E207="","",ROUND(MIN(Inputs!$B$10,MAX(0,$E207+$H207-$F207)),2))</f>
        <v/>
      </c>
      <c r="H207" s="25" t="str">
        <f>IF($E207="","",ROUND(IF(Inputs!$B$12="Daily Simple Interest",$E207*Inputs!$B$6/Inputs!$B$17*$D207,$E207*Inputs!$B$6/Inputs!$B$18),2))</f>
        <v/>
      </c>
      <c r="I207" s="25" t="str">
        <f t="shared" si="31"/>
        <v/>
      </c>
      <c r="J207" s="25" t="str">
        <f>IF($E207="","",IF($F207+$G207&gt;0,Inputs!$B$11,0))</f>
        <v/>
      </c>
      <c r="K207" s="25" t="str">
        <f t="shared" si="32"/>
        <v/>
      </c>
      <c r="L207" s="25" t="str">
        <f t="shared" si="33"/>
        <v/>
      </c>
      <c r="M207" s="25" t="str">
        <f t="shared" si="34"/>
        <v/>
      </c>
      <c r="N207" s="84" t="str">
        <f t="shared" si="35"/>
        <v/>
      </c>
      <c r="O207" s="23" t="str">
        <f t="shared" si="36"/>
        <v/>
      </c>
    </row>
    <row r="208" spans="1:15" ht="20" customHeight="1">
      <c r="A208" s="22" t="str">
        <f t="shared" si="30"/>
        <v/>
      </c>
      <c r="B208" s="23" t="str">
        <f>IF($E208="","",202)</f>
        <v/>
      </c>
      <c r="C208" s="24" t="str">
        <f t="shared" si="37"/>
        <v/>
      </c>
      <c r="D208" s="23" t="str">
        <f t="shared" si="38"/>
        <v/>
      </c>
      <c r="E208" s="25" t="str">
        <f t="shared" si="39"/>
        <v/>
      </c>
      <c r="F208" s="25" t="str">
        <f>IF($E208="","",ROUND(MIN(Comparison!$B$5,MAX(0,$E208+$H208)),2))</f>
        <v/>
      </c>
      <c r="G208" s="25" t="str">
        <f>IF($E208="","",ROUND(MIN(Inputs!$B$10,MAX(0,$E208+$H208-$F208)),2))</f>
        <v/>
      </c>
      <c r="H208" s="25" t="str">
        <f>IF($E208="","",ROUND(IF(Inputs!$B$12="Daily Simple Interest",$E208*Inputs!$B$6/Inputs!$B$17*$D208,$E208*Inputs!$B$6/Inputs!$B$18),2))</f>
        <v/>
      </c>
      <c r="I208" s="25" t="str">
        <f t="shared" si="31"/>
        <v/>
      </c>
      <c r="J208" s="25" t="str">
        <f>IF($E208="","",IF($F208+$G208&gt;0,Inputs!$B$11,0))</f>
        <v/>
      </c>
      <c r="K208" s="25" t="str">
        <f t="shared" si="32"/>
        <v/>
      </c>
      <c r="L208" s="25" t="str">
        <f t="shared" si="33"/>
        <v/>
      </c>
      <c r="M208" s="25" t="str">
        <f t="shared" si="34"/>
        <v/>
      </c>
      <c r="N208" s="84" t="str">
        <f t="shared" si="35"/>
        <v/>
      </c>
      <c r="O208" s="23" t="str">
        <f t="shared" si="36"/>
        <v/>
      </c>
    </row>
    <row r="209" spans="1:15" ht="20" customHeight="1">
      <c r="A209" s="22" t="str">
        <f t="shared" si="30"/>
        <v/>
      </c>
      <c r="B209" s="23" t="str">
        <f>IF($E209="","",203)</f>
        <v/>
      </c>
      <c r="C209" s="24" t="str">
        <f t="shared" si="37"/>
        <v/>
      </c>
      <c r="D209" s="23" t="str">
        <f t="shared" si="38"/>
        <v/>
      </c>
      <c r="E209" s="25" t="str">
        <f t="shared" si="39"/>
        <v/>
      </c>
      <c r="F209" s="25" t="str">
        <f>IF($E209="","",ROUND(MIN(Comparison!$B$5,MAX(0,$E209+$H209)),2))</f>
        <v/>
      </c>
      <c r="G209" s="25" t="str">
        <f>IF($E209="","",ROUND(MIN(Inputs!$B$10,MAX(0,$E209+$H209-$F209)),2))</f>
        <v/>
      </c>
      <c r="H209" s="25" t="str">
        <f>IF($E209="","",ROUND(IF(Inputs!$B$12="Daily Simple Interest",$E209*Inputs!$B$6/Inputs!$B$17*$D209,$E209*Inputs!$B$6/Inputs!$B$18),2))</f>
        <v/>
      </c>
      <c r="I209" s="25" t="str">
        <f t="shared" si="31"/>
        <v/>
      </c>
      <c r="J209" s="25" t="str">
        <f>IF($E209="","",IF($F209+$G209&gt;0,Inputs!$B$11,0))</f>
        <v/>
      </c>
      <c r="K209" s="25" t="str">
        <f t="shared" si="32"/>
        <v/>
      </c>
      <c r="L209" s="25" t="str">
        <f t="shared" si="33"/>
        <v/>
      </c>
      <c r="M209" s="25" t="str">
        <f t="shared" si="34"/>
        <v/>
      </c>
      <c r="N209" s="84" t="str">
        <f t="shared" si="35"/>
        <v/>
      </c>
      <c r="O209" s="23" t="str">
        <f t="shared" si="36"/>
        <v/>
      </c>
    </row>
    <row r="210" spans="1:15" ht="20" customHeight="1">
      <c r="A210" s="22" t="str">
        <f t="shared" si="30"/>
        <v/>
      </c>
      <c r="B210" s="23" t="str">
        <f>IF($E210="","",204)</f>
        <v/>
      </c>
      <c r="C210" s="24" t="str">
        <f t="shared" si="37"/>
        <v/>
      </c>
      <c r="D210" s="23" t="str">
        <f t="shared" si="38"/>
        <v/>
      </c>
      <c r="E210" s="25" t="str">
        <f t="shared" si="39"/>
        <v/>
      </c>
      <c r="F210" s="25" t="str">
        <f>IF($E210="","",ROUND(MIN(Comparison!$B$5,MAX(0,$E210+$H210)),2))</f>
        <v/>
      </c>
      <c r="G210" s="25" t="str">
        <f>IF($E210="","",ROUND(MIN(Inputs!$B$10,MAX(0,$E210+$H210-$F210)),2))</f>
        <v/>
      </c>
      <c r="H210" s="25" t="str">
        <f>IF($E210="","",ROUND(IF(Inputs!$B$12="Daily Simple Interest",$E210*Inputs!$B$6/Inputs!$B$17*$D210,$E210*Inputs!$B$6/Inputs!$B$18),2))</f>
        <v/>
      </c>
      <c r="I210" s="25" t="str">
        <f t="shared" si="31"/>
        <v/>
      </c>
      <c r="J210" s="25" t="str">
        <f>IF($E210="","",IF($F210+$G210&gt;0,Inputs!$B$11,0))</f>
        <v/>
      </c>
      <c r="K210" s="25" t="str">
        <f t="shared" si="32"/>
        <v/>
      </c>
      <c r="L210" s="25" t="str">
        <f t="shared" si="33"/>
        <v/>
      </c>
      <c r="M210" s="25" t="str">
        <f t="shared" si="34"/>
        <v/>
      </c>
      <c r="N210" s="84" t="str">
        <f t="shared" si="35"/>
        <v/>
      </c>
      <c r="O210" s="23" t="str">
        <f t="shared" si="36"/>
        <v/>
      </c>
    </row>
    <row r="211" spans="1:15" ht="20" customHeight="1">
      <c r="A211" s="22" t="str">
        <f t="shared" si="30"/>
        <v/>
      </c>
      <c r="B211" s="23" t="str">
        <f>IF($E211="","",205)</f>
        <v/>
      </c>
      <c r="C211" s="24" t="str">
        <f t="shared" si="37"/>
        <v/>
      </c>
      <c r="D211" s="23" t="str">
        <f t="shared" si="38"/>
        <v/>
      </c>
      <c r="E211" s="25" t="str">
        <f t="shared" si="39"/>
        <v/>
      </c>
      <c r="F211" s="25" t="str">
        <f>IF($E211="","",ROUND(MIN(Comparison!$B$5,MAX(0,$E211+$H211)),2))</f>
        <v/>
      </c>
      <c r="G211" s="25" t="str">
        <f>IF($E211="","",ROUND(MIN(Inputs!$B$10,MAX(0,$E211+$H211-$F211)),2))</f>
        <v/>
      </c>
      <c r="H211" s="25" t="str">
        <f>IF($E211="","",ROUND(IF(Inputs!$B$12="Daily Simple Interest",$E211*Inputs!$B$6/Inputs!$B$17*$D211,$E211*Inputs!$B$6/Inputs!$B$18),2))</f>
        <v/>
      </c>
      <c r="I211" s="25" t="str">
        <f t="shared" si="31"/>
        <v/>
      </c>
      <c r="J211" s="25" t="str">
        <f>IF($E211="","",IF($F211+$G211&gt;0,Inputs!$B$11,0))</f>
        <v/>
      </c>
      <c r="K211" s="25" t="str">
        <f t="shared" si="32"/>
        <v/>
      </c>
      <c r="L211" s="25" t="str">
        <f t="shared" si="33"/>
        <v/>
      </c>
      <c r="M211" s="25" t="str">
        <f t="shared" si="34"/>
        <v/>
      </c>
      <c r="N211" s="84" t="str">
        <f t="shared" si="35"/>
        <v/>
      </c>
      <c r="O211" s="23" t="str">
        <f t="shared" si="36"/>
        <v/>
      </c>
    </row>
    <row r="212" spans="1:15" ht="20" customHeight="1">
      <c r="A212" s="22" t="str">
        <f t="shared" si="30"/>
        <v/>
      </c>
      <c r="B212" s="23" t="str">
        <f>IF($E212="","",206)</f>
        <v/>
      </c>
      <c r="C212" s="24" t="str">
        <f t="shared" si="37"/>
        <v/>
      </c>
      <c r="D212" s="23" t="str">
        <f t="shared" si="38"/>
        <v/>
      </c>
      <c r="E212" s="25" t="str">
        <f t="shared" si="39"/>
        <v/>
      </c>
      <c r="F212" s="25" t="str">
        <f>IF($E212="","",ROUND(MIN(Comparison!$B$5,MAX(0,$E212+$H212)),2))</f>
        <v/>
      </c>
      <c r="G212" s="25" t="str">
        <f>IF($E212="","",ROUND(MIN(Inputs!$B$10,MAX(0,$E212+$H212-$F212)),2))</f>
        <v/>
      </c>
      <c r="H212" s="25" t="str">
        <f>IF($E212="","",ROUND(IF(Inputs!$B$12="Daily Simple Interest",$E212*Inputs!$B$6/Inputs!$B$17*$D212,$E212*Inputs!$B$6/Inputs!$B$18),2))</f>
        <v/>
      </c>
      <c r="I212" s="25" t="str">
        <f t="shared" si="31"/>
        <v/>
      </c>
      <c r="J212" s="25" t="str">
        <f>IF($E212="","",IF($F212+$G212&gt;0,Inputs!$B$11,0))</f>
        <v/>
      </c>
      <c r="K212" s="25" t="str">
        <f t="shared" si="32"/>
        <v/>
      </c>
      <c r="L212" s="25" t="str">
        <f t="shared" si="33"/>
        <v/>
      </c>
      <c r="M212" s="25" t="str">
        <f t="shared" si="34"/>
        <v/>
      </c>
      <c r="N212" s="84" t="str">
        <f t="shared" si="35"/>
        <v/>
      </c>
      <c r="O212" s="23" t="str">
        <f t="shared" si="36"/>
        <v/>
      </c>
    </row>
    <row r="213" spans="1:15" ht="20" customHeight="1">
      <c r="A213" s="22" t="str">
        <f t="shared" si="30"/>
        <v/>
      </c>
      <c r="B213" s="23" t="str">
        <f>IF($E213="","",207)</f>
        <v/>
      </c>
      <c r="C213" s="24" t="str">
        <f t="shared" si="37"/>
        <v/>
      </c>
      <c r="D213" s="23" t="str">
        <f t="shared" si="38"/>
        <v/>
      </c>
      <c r="E213" s="25" t="str">
        <f t="shared" si="39"/>
        <v/>
      </c>
      <c r="F213" s="25" t="str">
        <f>IF($E213="","",ROUND(MIN(Comparison!$B$5,MAX(0,$E213+$H213)),2))</f>
        <v/>
      </c>
      <c r="G213" s="25" t="str">
        <f>IF($E213="","",ROUND(MIN(Inputs!$B$10,MAX(0,$E213+$H213-$F213)),2))</f>
        <v/>
      </c>
      <c r="H213" s="25" t="str">
        <f>IF($E213="","",ROUND(IF(Inputs!$B$12="Daily Simple Interest",$E213*Inputs!$B$6/Inputs!$B$17*$D213,$E213*Inputs!$B$6/Inputs!$B$18),2))</f>
        <v/>
      </c>
      <c r="I213" s="25" t="str">
        <f t="shared" si="31"/>
        <v/>
      </c>
      <c r="J213" s="25" t="str">
        <f>IF($E213="","",IF($F213+$G213&gt;0,Inputs!$B$11,0))</f>
        <v/>
      </c>
      <c r="K213" s="25" t="str">
        <f t="shared" si="32"/>
        <v/>
      </c>
      <c r="L213" s="25" t="str">
        <f t="shared" si="33"/>
        <v/>
      </c>
      <c r="M213" s="25" t="str">
        <f t="shared" si="34"/>
        <v/>
      </c>
      <c r="N213" s="84" t="str">
        <f t="shared" si="35"/>
        <v/>
      </c>
      <c r="O213" s="23" t="str">
        <f t="shared" si="36"/>
        <v/>
      </c>
    </row>
    <row r="214" spans="1:15" ht="20" customHeight="1">
      <c r="A214" s="22" t="str">
        <f t="shared" si="30"/>
        <v/>
      </c>
      <c r="B214" s="23" t="str">
        <f>IF($E214="","",208)</f>
        <v/>
      </c>
      <c r="C214" s="24" t="str">
        <f t="shared" si="37"/>
        <v/>
      </c>
      <c r="D214" s="23" t="str">
        <f t="shared" si="38"/>
        <v/>
      </c>
      <c r="E214" s="25" t="str">
        <f t="shared" si="39"/>
        <v/>
      </c>
      <c r="F214" s="25" t="str">
        <f>IF($E214="","",ROUND(MIN(Comparison!$B$5,MAX(0,$E214+$H214)),2))</f>
        <v/>
      </c>
      <c r="G214" s="25" t="str">
        <f>IF($E214="","",ROUND(MIN(Inputs!$B$10,MAX(0,$E214+$H214-$F214)),2))</f>
        <v/>
      </c>
      <c r="H214" s="25" t="str">
        <f>IF($E214="","",ROUND(IF(Inputs!$B$12="Daily Simple Interest",$E214*Inputs!$B$6/Inputs!$B$17*$D214,$E214*Inputs!$B$6/Inputs!$B$18),2))</f>
        <v/>
      </c>
      <c r="I214" s="25" t="str">
        <f t="shared" si="31"/>
        <v/>
      </c>
      <c r="J214" s="25" t="str">
        <f>IF($E214="","",IF($F214+$G214&gt;0,Inputs!$B$11,0))</f>
        <v/>
      </c>
      <c r="K214" s="25" t="str">
        <f t="shared" si="32"/>
        <v/>
      </c>
      <c r="L214" s="25" t="str">
        <f t="shared" si="33"/>
        <v/>
      </c>
      <c r="M214" s="25" t="str">
        <f t="shared" si="34"/>
        <v/>
      </c>
      <c r="N214" s="84" t="str">
        <f t="shared" si="35"/>
        <v/>
      </c>
      <c r="O214" s="23" t="str">
        <f t="shared" si="36"/>
        <v/>
      </c>
    </row>
    <row r="215" spans="1:15" ht="20" customHeight="1">
      <c r="A215" s="22" t="str">
        <f t="shared" si="30"/>
        <v/>
      </c>
      <c r="B215" s="23" t="str">
        <f>IF($E215="","",209)</f>
        <v/>
      </c>
      <c r="C215" s="24" t="str">
        <f t="shared" si="37"/>
        <v/>
      </c>
      <c r="D215" s="23" t="str">
        <f t="shared" si="38"/>
        <v/>
      </c>
      <c r="E215" s="25" t="str">
        <f t="shared" si="39"/>
        <v/>
      </c>
      <c r="F215" s="25" t="str">
        <f>IF($E215="","",ROUND(MIN(Comparison!$B$5,MAX(0,$E215+$H215)),2))</f>
        <v/>
      </c>
      <c r="G215" s="25" t="str">
        <f>IF($E215="","",ROUND(MIN(Inputs!$B$10,MAX(0,$E215+$H215-$F215)),2))</f>
        <v/>
      </c>
      <c r="H215" s="25" t="str">
        <f>IF($E215="","",ROUND(IF(Inputs!$B$12="Daily Simple Interest",$E215*Inputs!$B$6/Inputs!$B$17*$D215,$E215*Inputs!$B$6/Inputs!$B$18),2))</f>
        <v/>
      </c>
      <c r="I215" s="25" t="str">
        <f t="shared" si="31"/>
        <v/>
      </c>
      <c r="J215" s="25" t="str">
        <f>IF($E215="","",IF($F215+$G215&gt;0,Inputs!$B$11,0))</f>
        <v/>
      </c>
      <c r="K215" s="25" t="str">
        <f t="shared" si="32"/>
        <v/>
      </c>
      <c r="L215" s="25" t="str">
        <f t="shared" si="33"/>
        <v/>
      </c>
      <c r="M215" s="25" t="str">
        <f t="shared" si="34"/>
        <v/>
      </c>
      <c r="N215" s="84" t="str">
        <f t="shared" si="35"/>
        <v/>
      </c>
      <c r="O215" s="23" t="str">
        <f t="shared" si="36"/>
        <v/>
      </c>
    </row>
    <row r="216" spans="1:15" ht="20" customHeight="1">
      <c r="A216" s="22" t="str">
        <f t="shared" si="30"/>
        <v/>
      </c>
      <c r="B216" s="23" t="str">
        <f>IF($E216="","",210)</f>
        <v/>
      </c>
      <c r="C216" s="24" t="str">
        <f t="shared" si="37"/>
        <v/>
      </c>
      <c r="D216" s="23" t="str">
        <f t="shared" si="38"/>
        <v/>
      </c>
      <c r="E216" s="25" t="str">
        <f t="shared" si="39"/>
        <v/>
      </c>
      <c r="F216" s="25" t="str">
        <f>IF($E216="","",ROUND(MIN(Comparison!$B$5,MAX(0,$E216+$H216)),2))</f>
        <v/>
      </c>
      <c r="G216" s="25" t="str">
        <f>IF($E216="","",ROUND(MIN(Inputs!$B$10,MAX(0,$E216+$H216-$F216)),2))</f>
        <v/>
      </c>
      <c r="H216" s="25" t="str">
        <f>IF($E216="","",ROUND(IF(Inputs!$B$12="Daily Simple Interest",$E216*Inputs!$B$6/Inputs!$B$17*$D216,$E216*Inputs!$B$6/Inputs!$B$18),2))</f>
        <v/>
      </c>
      <c r="I216" s="25" t="str">
        <f t="shared" si="31"/>
        <v/>
      </c>
      <c r="J216" s="25" t="str">
        <f>IF($E216="","",IF($F216+$G216&gt;0,Inputs!$B$11,0))</f>
        <v/>
      </c>
      <c r="K216" s="25" t="str">
        <f t="shared" si="32"/>
        <v/>
      </c>
      <c r="L216" s="25" t="str">
        <f t="shared" si="33"/>
        <v/>
      </c>
      <c r="M216" s="25" t="str">
        <f t="shared" si="34"/>
        <v/>
      </c>
      <c r="N216" s="84" t="str">
        <f t="shared" si="35"/>
        <v/>
      </c>
      <c r="O216" s="23" t="str">
        <f t="shared" si="36"/>
        <v/>
      </c>
    </row>
    <row r="217" spans="1:15" ht="20" customHeight="1">
      <c r="A217" s="22" t="str">
        <f t="shared" si="30"/>
        <v/>
      </c>
      <c r="B217" s="23" t="str">
        <f>IF($E217="","",211)</f>
        <v/>
      </c>
      <c r="C217" s="24" t="str">
        <f t="shared" si="37"/>
        <v/>
      </c>
      <c r="D217" s="23" t="str">
        <f t="shared" si="38"/>
        <v/>
      </c>
      <c r="E217" s="25" t="str">
        <f t="shared" si="39"/>
        <v/>
      </c>
      <c r="F217" s="25" t="str">
        <f>IF($E217="","",ROUND(MIN(Comparison!$B$5,MAX(0,$E217+$H217)),2))</f>
        <v/>
      </c>
      <c r="G217" s="25" t="str">
        <f>IF($E217="","",ROUND(MIN(Inputs!$B$10,MAX(0,$E217+$H217-$F217)),2))</f>
        <v/>
      </c>
      <c r="H217" s="25" t="str">
        <f>IF($E217="","",ROUND(IF(Inputs!$B$12="Daily Simple Interest",$E217*Inputs!$B$6/Inputs!$B$17*$D217,$E217*Inputs!$B$6/Inputs!$B$18),2))</f>
        <v/>
      </c>
      <c r="I217" s="25" t="str">
        <f t="shared" si="31"/>
        <v/>
      </c>
      <c r="J217" s="25" t="str">
        <f>IF($E217="","",IF($F217+$G217&gt;0,Inputs!$B$11,0))</f>
        <v/>
      </c>
      <c r="K217" s="25" t="str">
        <f t="shared" si="32"/>
        <v/>
      </c>
      <c r="L217" s="25" t="str">
        <f t="shared" si="33"/>
        <v/>
      </c>
      <c r="M217" s="25" t="str">
        <f t="shared" si="34"/>
        <v/>
      </c>
      <c r="N217" s="84" t="str">
        <f t="shared" si="35"/>
        <v/>
      </c>
      <c r="O217" s="23" t="str">
        <f t="shared" si="36"/>
        <v/>
      </c>
    </row>
    <row r="218" spans="1:15" ht="20" customHeight="1">
      <c r="A218" s="22" t="str">
        <f t="shared" si="30"/>
        <v/>
      </c>
      <c r="B218" s="23" t="str">
        <f>IF($E218="","",212)</f>
        <v/>
      </c>
      <c r="C218" s="24" t="str">
        <f t="shared" si="37"/>
        <v/>
      </c>
      <c r="D218" s="23" t="str">
        <f t="shared" si="38"/>
        <v/>
      </c>
      <c r="E218" s="25" t="str">
        <f t="shared" si="39"/>
        <v/>
      </c>
      <c r="F218" s="25" t="str">
        <f>IF($E218="","",ROUND(MIN(Comparison!$B$5,MAX(0,$E218+$H218)),2))</f>
        <v/>
      </c>
      <c r="G218" s="25" t="str">
        <f>IF($E218="","",ROUND(MIN(Inputs!$B$10,MAX(0,$E218+$H218-$F218)),2))</f>
        <v/>
      </c>
      <c r="H218" s="25" t="str">
        <f>IF($E218="","",ROUND(IF(Inputs!$B$12="Daily Simple Interest",$E218*Inputs!$B$6/Inputs!$B$17*$D218,$E218*Inputs!$B$6/Inputs!$B$18),2))</f>
        <v/>
      </c>
      <c r="I218" s="25" t="str">
        <f t="shared" si="31"/>
        <v/>
      </c>
      <c r="J218" s="25" t="str">
        <f>IF($E218="","",IF($F218+$G218&gt;0,Inputs!$B$11,0))</f>
        <v/>
      </c>
      <c r="K218" s="25" t="str">
        <f t="shared" si="32"/>
        <v/>
      </c>
      <c r="L218" s="25" t="str">
        <f t="shared" si="33"/>
        <v/>
      </c>
      <c r="M218" s="25" t="str">
        <f t="shared" si="34"/>
        <v/>
      </c>
      <c r="N218" s="84" t="str">
        <f t="shared" si="35"/>
        <v/>
      </c>
      <c r="O218" s="23" t="str">
        <f t="shared" si="36"/>
        <v/>
      </c>
    </row>
    <row r="219" spans="1:15" ht="20" customHeight="1">
      <c r="A219" s="22" t="str">
        <f t="shared" si="30"/>
        <v/>
      </c>
      <c r="B219" s="23" t="str">
        <f>IF($E219="","",213)</f>
        <v/>
      </c>
      <c r="C219" s="24" t="str">
        <f t="shared" si="37"/>
        <v/>
      </c>
      <c r="D219" s="23" t="str">
        <f t="shared" si="38"/>
        <v/>
      </c>
      <c r="E219" s="25" t="str">
        <f t="shared" si="39"/>
        <v/>
      </c>
      <c r="F219" s="25" t="str">
        <f>IF($E219="","",ROUND(MIN(Comparison!$B$5,MAX(0,$E219+$H219)),2))</f>
        <v/>
      </c>
      <c r="G219" s="25" t="str">
        <f>IF($E219="","",ROUND(MIN(Inputs!$B$10,MAX(0,$E219+$H219-$F219)),2))</f>
        <v/>
      </c>
      <c r="H219" s="25" t="str">
        <f>IF($E219="","",ROUND(IF(Inputs!$B$12="Daily Simple Interest",$E219*Inputs!$B$6/Inputs!$B$17*$D219,$E219*Inputs!$B$6/Inputs!$B$18),2))</f>
        <v/>
      </c>
      <c r="I219" s="25" t="str">
        <f t="shared" si="31"/>
        <v/>
      </c>
      <c r="J219" s="25" t="str">
        <f>IF($E219="","",IF($F219+$G219&gt;0,Inputs!$B$11,0))</f>
        <v/>
      </c>
      <c r="K219" s="25" t="str">
        <f t="shared" si="32"/>
        <v/>
      </c>
      <c r="L219" s="25" t="str">
        <f t="shared" si="33"/>
        <v/>
      </c>
      <c r="M219" s="25" t="str">
        <f t="shared" si="34"/>
        <v/>
      </c>
      <c r="N219" s="84" t="str">
        <f t="shared" si="35"/>
        <v/>
      </c>
      <c r="O219" s="23" t="str">
        <f t="shared" si="36"/>
        <v/>
      </c>
    </row>
    <row r="220" spans="1:15" ht="20" customHeight="1">
      <c r="A220" s="22" t="str">
        <f t="shared" si="30"/>
        <v/>
      </c>
      <c r="B220" s="23" t="str">
        <f>IF($E220="","",214)</f>
        <v/>
      </c>
      <c r="C220" s="24" t="str">
        <f t="shared" si="37"/>
        <v/>
      </c>
      <c r="D220" s="23" t="str">
        <f t="shared" si="38"/>
        <v/>
      </c>
      <c r="E220" s="25" t="str">
        <f t="shared" si="39"/>
        <v/>
      </c>
      <c r="F220" s="25" t="str">
        <f>IF($E220="","",ROUND(MIN(Comparison!$B$5,MAX(0,$E220+$H220)),2))</f>
        <v/>
      </c>
      <c r="G220" s="25" t="str">
        <f>IF($E220="","",ROUND(MIN(Inputs!$B$10,MAX(0,$E220+$H220-$F220)),2))</f>
        <v/>
      </c>
      <c r="H220" s="25" t="str">
        <f>IF($E220="","",ROUND(IF(Inputs!$B$12="Daily Simple Interest",$E220*Inputs!$B$6/Inputs!$B$17*$D220,$E220*Inputs!$B$6/Inputs!$B$18),2))</f>
        <v/>
      </c>
      <c r="I220" s="25" t="str">
        <f t="shared" si="31"/>
        <v/>
      </c>
      <c r="J220" s="25" t="str">
        <f>IF($E220="","",IF($F220+$G220&gt;0,Inputs!$B$11,0))</f>
        <v/>
      </c>
      <c r="K220" s="25" t="str">
        <f t="shared" si="32"/>
        <v/>
      </c>
      <c r="L220" s="25" t="str">
        <f t="shared" si="33"/>
        <v/>
      </c>
      <c r="M220" s="25" t="str">
        <f t="shared" si="34"/>
        <v/>
      </c>
      <c r="N220" s="84" t="str">
        <f t="shared" si="35"/>
        <v/>
      </c>
      <c r="O220" s="23" t="str">
        <f t="shared" si="36"/>
        <v/>
      </c>
    </row>
    <row r="221" spans="1:15" ht="20" customHeight="1">
      <c r="A221" s="22" t="str">
        <f t="shared" si="30"/>
        <v/>
      </c>
      <c r="B221" s="23" t="str">
        <f>IF($E221="","",215)</f>
        <v/>
      </c>
      <c r="C221" s="24" t="str">
        <f t="shared" si="37"/>
        <v/>
      </c>
      <c r="D221" s="23" t="str">
        <f t="shared" si="38"/>
        <v/>
      </c>
      <c r="E221" s="25" t="str">
        <f t="shared" si="39"/>
        <v/>
      </c>
      <c r="F221" s="25" t="str">
        <f>IF($E221="","",ROUND(MIN(Comparison!$B$5,MAX(0,$E221+$H221)),2))</f>
        <v/>
      </c>
      <c r="G221" s="25" t="str">
        <f>IF($E221="","",ROUND(MIN(Inputs!$B$10,MAX(0,$E221+$H221-$F221)),2))</f>
        <v/>
      </c>
      <c r="H221" s="25" t="str">
        <f>IF($E221="","",ROUND(IF(Inputs!$B$12="Daily Simple Interest",$E221*Inputs!$B$6/Inputs!$B$17*$D221,$E221*Inputs!$B$6/Inputs!$B$18),2))</f>
        <v/>
      </c>
      <c r="I221" s="25" t="str">
        <f t="shared" si="31"/>
        <v/>
      </c>
      <c r="J221" s="25" t="str">
        <f>IF($E221="","",IF($F221+$G221&gt;0,Inputs!$B$11,0))</f>
        <v/>
      </c>
      <c r="K221" s="25" t="str">
        <f t="shared" si="32"/>
        <v/>
      </c>
      <c r="L221" s="25" t="str">
        <f t="shared" si="33"/>
        <v/>
      </c>
      <c r="M221" s="25" t="str">
        <f t="shared" si="34"/>
        <v/>
      </c>
      <c r="N221" s="84" t="str">
        <f t="shared" si="35"/>
        <v/>
      </c>
      <c r="O221" s="23" t="str">
        <f t="shared" si="36"/>
        <v/>
      </c>
    </row>
    <row r="222" spans="1:15" ht="20" customHeight="1">
      <c r="A222" s="22" t="str">
        <f t="shared" si="30"/>
        <v/>
      </c>
      <c r="B222" s="23" t="str">
        <f>IF($E222="","",216)</f>
        <v/>
      </c>
      <c r="C222" s="24" t="str">
        <f t="shared" si="37"/>
        <v/>
      </c>
      <c r="D222" s="23" t="str">
        <f t="shared" si="38"/>
        <v/>
      </c>
      <c r="E222" s="25" t="str">
        <f t="shared" si="39"/>
        <v/>
      </c>
      <c r="F222" s="25" t="str">
        <f>IF($E222="","",ROUND(MIN(Comparison!$B$5,MAX(0,$E222+$H222)),2))</f>
        <v/>
      </c>
      <c r="G222" s="25" t="str">
        <f>IF($E222="","",ROUND(MIN(Inputs!$B$10,MAX(0,$E222+$H222-$F222)),2))</f>
        <v/>
      </c>
      <c r="H222" s="25" t="str">
        <f>IF($E222="","",ROUND(IF(Inputs!$B$12="Daily Simple Interest",$E222*Inputs!$B$6/Inputs!$B$17*$D222,$E222*Inputs!$B$6/Inputs!$B$18),2))</f>
        <v/>
      </c>
      <c r="I222" s="25" t="str">
        <f t="shared" si="31"/>
        <v/>
      </c>
      <c r="J222" s="25" t="str">
        <f>IF($E222="","",IF($F222+$G222&gt;0,Inputs!$B$11,0))</f>
        <v/>
      </c>
      <c r="K222" s="25" t="str">
        <f t="shared" si="32"/>
        <v/>
      </c>
      <c r="L222" s="25" t="str">
        <f t="shared" si="33"/>
        <v/>
      </c>
      <c r="M222" s="25" t="str">
        <f t="shared" si="34"/>
        <v/>
      </c>
      <c r="N222" s="84" t="str">
        <f t="shared" si="35"/>
        <v/>
      </c>
      <c r="O222" s="23" t="str">
        <f t="shared" si="36"/>
        <v/>
      </c>
    </row>
    <row r="223" spans="1:15" ht="20" customHeight="1">
      <c r="A223" s="22" t="str">
        <f t="shared" si="30"/>
        <v/>
      </c>
      <c r="B223" s="23" t="str">
        <f>IF($E223="","",217)</f>
        <v/>
      </c>
      <c r="C223" s="24" t="str">
        <f t="shared" si="37"/>
        <v/>
      </c>
      <c r="D223" s="23" t="str">
        <f t="shared" si="38"/>
        <v/>
      </c>
      <c r="E223" s="25" t="str">
        <f t="shared" si="39"/>
        <v/>
      </c>
      <c r="F223" s="25" t="str">
        <f>IF($E223="","",ROUND(MIN(Comparison!$B$5,MAX(0,$E223+$H223)),2))</f>
        <v/>
      </c>
      <c r="G223" s="25" t="str">
        <f>IF($E223="","",ROUND(MIN(Inputs!$B$10,MAX(0,$E223+$H223-$F223)),2))</f>
        <v/>
      </c>
      <c r="H223" s="25" t="str">
        <f>IF($E223="","",ROUND(IF(Inputs!$B$12="Daily Simple Interest",$E223*Inputs!$B$6/Inputs!$B$17*$D223,$E223*Inputs!$B$6/Inputs!$B$18),2))</f>
        <v/>
      </c>
      <c r="I223" s="25" t="str">
        <f t="shared" si="31"/>
        <v/>
      </c>
      <c r="J223" s="25" t="str">
        <f>IF($E223="","",IF($F223+$G223&gt;0,Inputs!$B$11,0))</f>
        <v/>
      </c>
      <c r="K223" s="25" t="str">
        <f t="shared" si="32"/>
        <v/>
      </c>
      <c r="L223" s="25" t="str">
        <f t="shared" si="33"/>
        <v/>
      </c>
      <c r="M223" s="25" t="str">
        <f t="shared" si="34"/>
        <v/>
      </c>
      <c r="N223" s="84" t="str">
        <f t="shared" si="35"/>
        <v/>
      </c>
      <c r="O223" s="23" t="str">
        <f t="shared" si="36"/>
        <v/>
      </c>
    </row>
    <row r="224" spans="1:15" ht="20" customHeight="1">
      <c r="A224" s="22" t="str">
        <f t="shared" si="30"/>
        <v/>
      </c>
      <c r="B224" s="23" t="str">
        <f>IF($E224="","",218)</f>
        <v/>
      </c>
      <c r="C224" s="24" t="str">
        <f t="shared" si="37"/>
        <v/>
      </c>
      <c r="D224" s="23" t="str">
        <f t="shared" si="38"/>
        <v/>
      </c>
      <c r="E224" s="25" t="str">
        <f t="shared" si="39"/>
        <v/>
      </c>
      <c r="F224" s="25" t="str">
        <f>IF($E224="","",ROUND(MIN(Comparison!$B$5,MAX(0,$E224+$H224)),2))</f>
        <v/>
      </c>
      <c r="G224" s="25" t="str">
        <f>IF($E224="","",ROUND(MIN(Inputs!$B$10,MAX(0,$E224+$H224-$F224)),2))</f>
        <v/>
      </c>
      <c r="H224" s="25" t="str">
        <f>IF($E224="","",ROUND(IF(Inputs!$B$12="Daily Simple Interest",$E224*Inputs!$B$6/Inputs!$B$17*$D224,$E224*Inputs!$B$6/Inputs!$B$18),2))</f>
        <v/>
      </c>
      <c r="I224" s="25" t="str">
        <f t="shared" si="31"/>
        <v/>
      </c>
      <c r="J224" s="25" t="str">
        <f>IF($E224="","",IF($F224+$G224&gt;0,Inputs!$B$11,0))</f>
        <v/>
      </c>
      <c r="K224" s="25" t="str">
        <f t="shared" si="32"/>
        <v/>
      </c>
      <c r="L224" s="25" t="str">
        <f t="shared" si="33"/>
        <v/>
      </c>
      <c r="M224" s="25" t="str">
        <f t="shared" si="34"/>
        <v/>
      </c>
      <c r="N224" s="84" t="str">
        <f t="shared" si="35"/>
        <v/>
      </c>
      <c r="O224" s="23" t="str">
        <f t="shared" si="36"/>
        <v/>
      </c>
    </row>
    <row r="225" spans="1:15" ht="20" customHeight="1">
      <c r="A225" s="22" t="str">
        <f t="shared" si="30"/>
        <v/>
      </c>
      <c r="B225" s="23" t="str">
        <f>IF($E225="","",219)</f>
        <v/>
      </c>
      <c r="C225" s="24" t="str">
        <f t="shared" si="37"/>
        <v/>
      </c>
      <c r="D225" s="23" t="str">
        <f t="shared" si="38"/>
        <v/>
      </c>
      <c r="E225" s="25" t="str">
        <f t="shared" si="39"/>
        <v/>
      </c>
      <c r="F225" s="25" t="str">
        <f>IF($E225="","",ROUND(MIN(Comparison!$B$5,MAX(0,$E225+$H225)),2))</f>
        <v/>
      </c>
      <c r="G225" s="25" t="str">
        <f>IF($E225="","",ROUND(MIN(Inputs!$B$10,MAX(0,$E225+$H225-$F225)),2))</f>
        <v/>
      </c>
      <c r="H225" s="25" t="str">
        <f>IF($E225="","",ROUND(IF(Inputs!$B$12="Daily Simple Interest",$E225*Inputs!$B$6/Inputs!$B$17*$D225,$E225*Inputs!$B$6/Inputs!$B$18),2))</f>
        <v/>
      </c>
      <c r="I225" s="25" t="str">
        <f t="shared" si="31"/>
        <v/>
      </c>
      <c r="J225" s="25" t="str">
        <f>IF($E225="","",IF($F225+$G225&gt;0,Inputs!$B$11,0))</f>
        <v/>
      </c>
      <c r="K225" s="25" t="str">
        <f t="shared" si="32"/>
        <v/>
      </c>
      <c r="L225" s="25" t="str">
        <f t="shared" si="33"/>
        <v/>
      </c>
      <c r="M225" s="25" t="str">
        <f t="shared" si="34"/>
        <v/>
      </c>
      <c r="N225" s="84" t="str">
        <f t="shared" si="35"/>
        <v/>
      </c>
      <c r="O225" s="23" t="str">
        <f t="shared" si="36"/>
        <v/>
      </c>
    </row>
    <row r="226" spans="1:15" ht="20" customHeight="1">
      <c r="A226" s="22" t="str">
        <f t="shared" si="30"/>
        <v/>
      </c>
      <c r="B226" s="23" t="str">
        <f>IF($E226="","",220)</f>
        <v/>
      </c>
      <c r="C226" s="24" t="str">
        <f t="shared" si="37"/>
        <v/>
      </c>
      <c r="D226" s="23" t="str">
        <f t="shared" si="38"/>
        <v/>
      </c>
      <c r="E226" s="25" t="str">
        <f t="shared" si="39"/>
        <v/>
      </c>
      <c r="F226" s="25" t="str">
        <f>IF($E226="","",ROUND(MIN(Comparison!$B$5,MAX(0,$E226+$H226)),2))</f>
        <v/>
      </c>
      <c r="G226" s="25" t="str">
        <f>IF($E226="","",ROUND(MIN(Inputs!$B$10,MAX(0,$E226+$H226-$F226)),2))</f>
        <v/>
      </c>
      <c r="H226" s="25" t="str">
        <f>IF($E226="","",ROUND(IF(Inputs!$B$12="Daily Simple Interest",$E226*Inputs!$B$6/Inputs!$B$17*$D226,$E226*Inputs!$B$6/Inputs!$B$18),2))</f>
        <v/>
      </c>
      <c r="I226" s="25" t="str">
        <f t="shared" si="31"/>
        <v/>
      </c>
      <c r="J226" s="25" t="str">
        <f>IF($E226="","",IF($F226+$G226&gt;0,Inputs!$B$11,0))</f>
        <v/>
      </c>
      <c r="K226" s="25" t="str">
        <f t="shared" si="32"/>
        <v/>
      </c>
      <c r="L226" s="25" t="str">
        <f t="shared" si="33"/>
        <v/>
      </c>
      <c r="M226" s="25" t="str">
        <f t="shared" si="34"/>
        <v/>
      </c>
      <c r="N226" s="84" t="str">
        <f t="shared" si="35"/>
        <v/>
      </c>
      <c r="O226" s="23" t="str">
        <f t="shared" si="36"/>
        <v/>
      </c>
    </row>
    <row r="227" spans="1:15" ht="20" customHeight="1">
      <c r="A227" s="22" t="str">
        <f t="shared" si="30"/>
        <v/>
      </c>
      <c r="B227" s="23" t="str">
        <f>IF($E227="","",221)</f>
        <v/>
      </c>
      <c r="C227" s="24" t="str">
        <f t="shared" si="37"/>
        <v/>
      </c>
      <c r="D227" s="23" t="str">
        <f t="shared" si="38"/>
        <v/>
      </c>
      <c r="E227" s="25" t="str">
        <f t="shared" si="39"/>
        <v/>
      </c>
      <c r="F227" s="25" t="str">
        <f>IF($E227="","",ROUND(MIN(Comparison!$B$5,MAX(0,$E227+$H227)),2))</f>
        <v/>
      </c>
      <c r="G227" s="25" t="str">
        <f>IF($E227="","",ROUND(MIN(Inputs!$B$10,MAX(0,$E227+$H227-$F227)),2))</f>
        <v/>
      </c>
      <c r="H227" s="25" t="str">
        <f>IF($E227="","",ROUND(IF(Inputs!$B$12="Daily Simple Interest",$E227*Inputs!$B$6/Inputs!$B$17*$D227,$E227*Inputs!$B$6/Inputs!$B$18),2))</f>
        <v/>
      </c>
      <c r="I227" s="25" t="str">
        <f t="shared" si="31"/>
        <v/>
      </c>
      <c r="J227" s="25" t="str">
        <f>IF($E227="","",IF($F227+$G227&gt;0,Inputs!$B$11,0))</f>
        <v/>
      </c>
      <c r="K227" s="25" t="str">
        <f t="shared" si="32"/>
        <v/>
      </c>
      <c r="L227" s="25" t="str">
        <f t="shared" si="33"/>
        <v/>
      </c>
      <c r="M227" s="25" t="str">
        <f t="shared" si="34"/>
        <v/>
      </c>
      <c r="N227" s="84" t="str">
        <f t="shared" si="35"/>
        <v/>
      </c>
      <c r="O227" s="23" t="str">
        <f t="shared" si="36"/>
        <v/>
      </c>
    </row>
    <row r="228" spans="1:15" ht="20" customHeight="1">
      <c r="A228" s="22" t="str">
        <f t="shared" si="30"/>
        <v/>
      </c>
      <c r="B228" s="23" t="str">
        <f>IF($E228="","",222)</f>
        <v/>
      </c>
      <c r="C228" s="24" t="str">
        <f t="shared" si="37"/>
        <v/>
      </c>
      <c r="D228" s="23" t="str">
        <f t="shared" si="38"/>
        <v/>
      </c>
      <c r="E228" s="25" t="str">
        <f t="shared" si="39"/>
        <v/>
      </c>
      <c r="F228" s="25" t="str">
        <f>IF($E228="","",ROUND(MIN(Comparison!$B$5,MAX(0,$E228+$H228)),2))</f>
        <v/>
      </c>
      <c r="G228" s="25" t="str">
        <f>IF($E228="","",ROUND(MIN(Inputs!$B$10,MAX(0,$E228+$H228-$F228)),2))</f>
        <v/>
      </c>
      <c r="H228" s="25" t="str">
        <f>IF($E228="","",ROUND(IF(Inputs!$B$12="Daily Simple Interest",$E228*Inputs!$B$6/Inputs!$B$17*$D228,$E228*Inputs!$B$6/Inputs!$B$18),2))</f>
        <v/>
      </c>
      <c r="I228" s="25" t="str">
        <f t="shared" si="31"/>
        <v/>
      </c>
      <c r="J228" s="25" t="str">
        <f>IF($E228="","",IF($F228+$G228&gt;0,Inputs!$B$11,0))</f>
        <v/>
      </c>
      <c r="K228" s="25" t="str">
        <f t="shared" si="32"/>
        <v/>
      </c>
      <c r="L228" s="25" t="str">
        <f t="shared" si="33"/>
        <v/>
      </c>
      <c r="M228" s="25" t="str">
        <f t="shared" si="34"/>
        <v/>
      </c>
      <c r="N228" s="84" t="str">
        <f t="shared" si="35"/>
        <v/>
      </c>
      <c r="O228" s="23" t="str">
        <f t="shared" si="36"/>
        <v/>
      </c>
    </row>
    <row r="229" spans="1:15" ht="20" customHeight="1">
      <c r="A229" s="22" t="str">
        <f t="shared" si="30"/>
        <v/>
      </c>
      <c r="B229" s="23" t="str">
        <f>IF($E229="","",223)</f>
        <v/>
      </c>
      <c r="C229" s="24" t="str">
        <f t="shared" si="37"/>
        <v/>
      </c>
      <c r="D229" s="23" t="str">
        <f t="shared" si="38"/>
        <v/>
      </c>
      <c r="E229" s="25" t="str">
        <f t="shared" si="39"/>
        <v/>
      </c>
      <c r="F229" s="25" t="str">
        <f>IF($E229="","",ROUND(MIN(Comparison!$B$5,MAX(0,$E229+$H229)),2))</f>
        <v/>
      </c>
      <c r="G229" s="25" t="str">
        <f>IF($E229="","",ROUND(MIN(Inputs!$B$10,MAX(0,$E229+$H229-$F229)),2))</f>
        <v/>
      </c>
      <c r="H229" s="25" t="str">
        <f>IF($E229="","",ROUND(IF(Inputs!$B$12="Daily Simple Interest",$E229*Inputs!$B$6/Inputs!$B$17*$D229,$E229*Inputs!$B$6/Inputs!$B$18),2))</f>
        <v/>
      </c>
      <c r="I229" s="25" t="str">
        <f t="shared" si="31"/>
        <v/>
      </c>
      <c r="J229" s="25" t="str">
        <f>IF($E229="","",IF($F229+$G229&gt;0,Inputs!$B$11,0))</f>
        <v/>
      </c>
      <c r="K229" s="25" t="str">
        <f t="shared" si="32"/>
        <v/>
      </c>
      <c r="L229" s="25" t="str">
        <f t="shared" si="33"/>
        <v/>
      </c>
      <c r="M229" s="25" t="str">
        <f t="shared" si="34"/>
        <v/>
      </c>
      <c r="N229" s="84" t="str">
        <f t="shared" si="35"/>
        <v/>
      </c>
      <c r="O229" s="23" t="str">
        <f t="shared" si="36"/>
        <v/>
      </c>
    </row>
    <row r="230" spans="1:15" ht="20" customHeight="1">
      <c r="A230" s="22" t="str">
        <f t="shared" si="30"/>
        <v/>
      </c>
      <c r="B230" s="23" t="str">
        <f>IF($E230="","",224)</f>
        <v/>
      </c>
      <c r="C230" s="24" t="str">
        <f t="shared" si="37"/>
        <v/>
      </c>
      <c r="D230" s="23" t="str">
        <f t="shared" si="38"/>
        <v/>
      </c>
      <c r="E230" s="25" t="str">
        <f t="shared" si="39"/>
        <v/>
      </c>
      <c r="F230" s="25" t="str">
        <f>IF($E230="","",ROUND(MIN(Comparison!$B$5,MAX(0,$E230+$H230)),2))</f>
        <v/>
      </c>
      <c r="G230" s="25" t="str">
        <f>IF($E230="","",ROUND(MIN(Inputs!$B$10,MAX(0,$E230+$H230-$F230)),2))</f>
        <v/>
      </c>
      <c r="H230" s="25" t="str">
        <f>IF($E230="","",ROUND(IF(Inputs!$B$12="Daily Simple Interest",$E230*Inputs!$B$6/Inputs!$B$17*$D230,$E230*Inputs!$B$6/Inputs!$B$18),2))</f>
        <v/>
      </c>
      <c r="I230" s="25" t="str">
        <f t="shared" si="31"/>
        <v/>
      </c>
      <c r="J230" s="25" t="str">
        <f>IF($E230="","",IF($F230+$G230&gt;0,Inputs!$B$11,0))</f>
        <v/>
      </c>
      <c r="K230" s="25" t="str">
        <f t="shared" si="32"/>
        <v/>
      </c>
      <c r="L230" s="25" t="str">
        <f t="shared" si="33"/>
        <v/>
      </c>
      <c r="M230" s="25" t="str">
        <f t="shared" si="34"/>
        <v/>
      </c>
      <c r="N230" s="84" t="str">
        <f t="shared" si="35"/>
        <v/>
      </c>
      <c r="O230" s="23" t="str">
        <f t="shared" si="36"/>
        <v/>
      </c>
    </row>
    <row r="231" spans="1:15" ht="20" customHeight="1">
      <c r="A231" s="22" t="str">
        <f t="shared" si="30"/>
        <v/>
      </c>
      <c r="B231" s="23" t="str">
        <f>IF($E231="","",225)</f>
        <v/>
      </c>
      <c r="C231" s="24" t="str">
        <f t="shared" si="37"/>
        <v/>
      </c>
      <c r="D231" s="23" t="str">
        <f t="shared" si="38"/>
        <v/>
      </c>
      <c r="E231" s="25" t="str">
        <f t="shared" si="39"/>
        <v/>
      </c>
      <c r="F231" s="25" t="str">
        <f>IF($E231="","",ROUND(MIN(Comparison!$B$5,MAX(0,$E231+$H231)),2))</f>
        <v/>
      </c>
      <c r="G231" s="25" t="str">
        <f>IF($E231="","",ROUND(MIN(Inputs!$B$10,MAX(0,$E231+$H231-$F231)),2))</f>
        <v/>
      </c>
      <c r="H231" s="25" t="str">
        <f>IF($E231="","",ROUND(IF(Inputs!$B$12="Daily Simple Interest",$E231*Inputs!$B$6/Inputs!$B$17*$D231,$E231*Inputs!$B$6/Inputs!$B$18),2))</f>
        <v/>
      </c>
      <c r="I231" s="25" t="str">
        <f t="shared" si="31"/>
        <v/>
      </c>
      <c r="J231" s="25" t="str">
        <f>IF($E231="","",IF($F231+$G231&gt;0,Inputs!$B$11,0))</f>
        <v/>
      </c>
      <c r="K231" s="25" t="str">
        <f t="shared" si="32"/>
        <v/>
      </c>
      <c r="L231" s="25" t="str">
        <f t="shared" si="33"/>
        <v/>
      </c>
      <c r="M231" s="25" t="str">
        <f t="shared" si="34"/>
        <v/>
      </c>
      <c r="N231" s="84" t="str">
        <f t="shared" si="35"/>
        <v/>
      </c>
      <c r="O231" s="23" t="str">
        <f t="shared" si="36"/>
        <v/>
      </c>
    </row>
    <row r="232" spans="1:15" ht="20" customHeight="1">
      <c r="A232" s="22" t="str">
        <f t="shared" si="30"/>
        <v/>
      </c>
      <c r="B232" s="23" t="str">
        <f>IF($E232="","",226)</f>
        <v/>
      </c>
      <c r="C232" s="24" t="str">
        <f t="shared" si="37"/>
        <v/>
      </c>
      <c r="D232" s="23" t="str">
        <f t="shared" si="38"/>
        <v/>
      </c>
      <c r="E232" s="25" t="str">
        <f t="shared" si="39"/>
        <v/>
      </c>
      <c r="F232" s="25" t="str">
        <f>IF($E232="","",ROUND(MIN(Comparison!$B$5,MAX(0,$E232+$H232)),2))</f>
        <v/>
      </c>
      <c r="G232" s="25" t="str">
        <f>IF($E232="","",ROUND(MIN(Inputs!$B$10,MAX(0,$E232+$H232-$F232)),2))</f>
        <v/>
      </c>
      <c r="H232" s="25" t="str">
        <f>IF($E232="","",ROUND(IF(Inputs!$B$12="Daily Simple Interest",$E232*Inputs!$B$6/Inputs!$B$17*$D232,$E232*Inputs!$B$6/Inputs!$B$18),2))</f>
        <v/>
      </c>
      <c r="I232" s="25" t="str">
        <f t="shared" si="31"/>
        <v/>
      </c>
      <c r="J232" s="25" t="str">
        <f>IF($E232="","",IF($F232+$G232&gt;0,Inputs!$B$11,0))</f>
        <v/>
      </c>
      <c r="K232" s="25" t="str">
        <f t="shared" si="32"/>
        <v/>
      </c>
      <c r="L232" s="25" t="str">
        <f t="shared" si="33"/>
        <v/>
      </c>
      <c r="M232" s="25" t="str">
        <f t="shared" si="34"/>
        <v/>
      </c>
      <c r="N232" s="84" t="str">
        <f t="shared" si="35"/>
        <v/>
      </c>
      <c r="O232" s="23" t="str">
        <f t="shared" si="36"/>
        <v/>
      </c>
    </row>
    <row r="233" spans="1:15" ht="20" customHeight="1">
      <c r="A233" s="22" t="str">
        <f t="shared" si="30"/>
        <v/>
      </c>
      <c r="B233" s="23" t="str">
        <f>IF($E233="","",227)</f>
        <v/>
      </c>
      <c r="C233" s="24" t="str">
        <f t="shared" si="37"/>
        <v/>
      </c>
      <c r="D233" s="23" t="str">
        <f t="shared" si="38"/>
        <v/>
      </c>
      <c r="E233" s="25" t="str">
        <f t="shared" si="39"/>
        <v/>
      </c>
      <c r="F233" s="25" t="str">
        <f>IF($E233="","",ROUND(MIN(Comparison!$B$5,MAX(0,$E233+$H233)),2))</f>
        <v/>
      </c>
      <c r="G233" s="25" t="str">
        <f>IF($E233="","",ROUND(MIN(Inputs!$B$10,MAX(0,$E233+$H233-$F233)),2))</f>
        <v/>
      </c>
      <c r="H233" s="25" t="str">
        <f>IF($E233="","",ROUND(IF(Inputs!$B$12="Daily Simple Interest",$E233*Inputs!$B$6/Inputs!$B$17*$D233,$E233*Inputs!$B$6/Inputs!$B$18),2))</f>
        <v/>
      </c>
      <c r="I233" s="25" t="str">
        <f t="shared" si="31"/>
        <v/>
      </c>
      <c r="J233" s="25" t="str">
        <f>IF($E233="","",IF($F233+$G233&gt;0,Inputs!$B$11,0))</f>
        <v/>
      </c>
      <c r="K233" s="25" t="str">
        <f t="shared" si="32"/>
        <v/>
      </c>
      <c r="L233" s="25" t="str">
        <f t="shared" si="33"/>
        <v/>
      </c>
      <c r="M233" s="25" t="str">
        <f t="shared" si="34"/>
        <v/>
      </c>
      <c r="N233" s="84" t="str">
        <f t="shared" si="35"/>
        <v/>
      </c>
      <c r="O233" s="23" t="str">
        <f t="shared" si="36"/>
        <v/>
      </c>
    </row>
    <row r="234" spans="1:15" ht="20" customHeight="1">
      <c r="A234" s="22" t="str">
        <f t="shared" si="30"/>
        <v/>
      </c>
      <c r="B234" s="23" t="str">
        <f>IF($E234="","",228)</f>
        <v/>
      </c>
      <c r="C234" s="24" t="str">
        <f t="shared" si="37"/>
        <v/>
      </c>
      <c r="D234" s="23" t="str">
        <f t="shared" si="38"/>
        <v/>
      </c>
      <c r="E234" s="25" t="str">
        <f t="shared" si="39"/>
        <v/>
      </c>
      <c r="F234" s="25" t="str">
        <f>IF($E234="","",ROUND(MIN(Comparison!$B$5,MAX(0,$E234+$H234)),2))</f>
        <v/>
      </c>
      <c r="G234" s="25" t="str">
        <f>IF($E234="","",ROUND(MIN(Inputs!$B$10,MAX(0,$E234+$H234-$F234)),2))</f>
        <v/>
      </c>
      <c r="H234" s="25" t="str">
        <f>IF($E234="","",ROUND(IF(Inputs!$B$12="Daily Simple Interest",$E234*Inputs!$B$6/Inputs!$B$17*$D234,$E234*Inputs!$B$6/Inputs!$B$18),2))</f>
        <v/>
      </c>
      <c r="I234" s="25" t="str">
        <f t="shared" si="31"/>
        <v/>
      </c>
      <c r="J234" s="25" t="str">
        <f>IF($E234="","",IF($F234+$G234&gt;0,Inputs!$B$11,0))</f>
        <v/>
      </c>
      <c r="K234" s="25" t="str">
        <f t="shared" si="32"/>
        <v/>
      </c>
      <c r="L234" s="25" t="str">
        <f t="shared" si="33"/>
        <v/>
      </c>
      <c r="M234" s="25" t="str">
        <f t="shared" si="34"/>
        <v/>
      </c>
      <c r="N234" s="84" t="str">
        <f t="shared" si="35"/>
        <v/>
      </c>
      <c r="O234" s="23" t="str">
        <f t="shared" si="36"/>
        <v/>
      </c>
    </row>
    <row r="235" spans="1:15" ht="20" customHeight="1">
      <c r="A235" s="22" t="str">
        <f t="shared" si="30"/>
        <v/>
      </c>
      <c r="B235" s="23" t="str">
        <f>IF($E235="","",229)</f>
        <v/>
      </c>
      <c r="C235" s="24" t="str">
        <f t="shared" si="37"/>
        <v/>
      </c>
      <c r="D235" s="23" t="str">
        <f t="shared" si="38"/>
        <v/>
      </c>
      <c r="E235" s="25" t="str">
        <f t="shared" si="39"/>
        <v/>
      </c>
      <c r="F235" s="25" t="str">
        <f>IF($E235="","",ROUND(MIN(Comparison!$B$5,MAX(0,$E235+$H235)),2))</f>
        <v/>
      </c>
      <c r="G235" s="25" t="str">
        <f>IF($E235="","",ROUND(MIN(Inputs!$B$10,MAX(0,$E235+$H235-$F235)),2))</f>
        <v/>
      </c>
      <c r="H235" s="25" t="str">
        <f>IF($E235="","",ROUND(IF(Inputs!$B$12="Daily Simple Interest",$E235*Inputs!$B$6/Inputs!$B$17*$D235,$E235*Inputs!$B$6/Inputs!$B$18),2))</f>
        <v/>
      </c>
      <c r="I235" s="25" t="str">
        <f t="shared" si="31"/>
        <v/>
      </c>
      <c r="J235" s="25" t="str">
        <f>IF($E235="","",IF($F235+$G235&gt;0,Inputs!$B$11,0))</f>
        <v/>
      </c>
      <c r="K235" s="25" t="str">
        <f t="shared" si="32"/>
        <v/>
      </c>
      <c r="L235" s="25" t="str">
        <f t="shared" si="33"/>
        <v/>
      </c>
      <c r="M235" s="25" t="str">
        <f t="shared" si="34"/>
        <v/>
      </c>
      <c r="N235" s="84" t="str">
        <f t="shared" si="35"/>
        <v/>
      </c>
      <c r="O235" s="23" t="str">
        <f t="shared" si="36"/>
        <v/>
      </c>
    </row>
    <row r="236" spans="1:15" ht="20" customHeight="1">
      <c r="A236" s="22" t="str">
        <f t="shared" si="30"/>
        <v/>
      </c>
      <c r="B236" s="23" t="str">
        <f>IF($E236="","",230)</f>
        <v/>
      </c>
      <c r="C236" s="24" t="str">
        <f t="shared" si="37"/>
        <v/>
      </c>
      <c r="D236" s="23" t="str">
        <f t="shared" si="38"/>
        <v/>
      </c>
      <c r="E236" s="25" t="str">
        <f t="shared" si="39"/>
        <v/>
      </c>
      <c r="F236" s="25" t="str">
        <f>IF($E236="","",ROUND(MIN(Comparison!$B$5,MAX(0,$E236+$H236)),2))</f>
        <v/>
      </c>
      <c r="G236" s="25" t="str">
        <f>IF($E236="","",ROUND(MIN(Inputs!$B$10,MAX(0,$E236+$H236-$F236)),2))</f>
        <v/>
      </c>
      <c r="H236" s="25" t="str">
        <f>IF($E236="","",ROUND(IF(Inputs!$B$12="Daily Simple Interest",$E236*Inputs!$B$6/Inputs!$B$17*$D236,$E236*Inputs!$B$6/Inputs!$B$18),2))</f>
        <v/>
      </c>
      <c r="I236" s="25" t="str">
        <f t="shared" si="31"/>
        <v/>
      </c>
      <c r="J236" s="25" t="str">
        <f>IF($E236="","",IF($F236+$G236&gt;0,Inputs!$B$11,0))</f>
        <v/>
      </c>
      <c r="K236" s="25" t="str">
        <f t="shared" si="32"/>
        <v/>
      </c>
      <c r="L236" s="25" t="str">
        <f t="shared" si="33"/>
        <v/>
      </c>
      <c r="M236" s="25" t="str">
        <f t="shared" si="34"/>
        <v/>
      </c>
      <c r="N236" s="84" t="str">
        <f t="shared" si="35"/>
        <v/>
      </c>
      <c r="O236" s="23" t="str">
        <f t="shared" si="36"/>
        <v/>
      </c>
    </row>
    <row r="237" spans="1:15" ht="20" customHeight="1">
      <c r="A237" s="22" t="str">
        <f t="shared" si="30"/>
        <v/>
      </c>
      <c r="B237" s="23" t="str">
        <f>IF($E237="","",231)</f>
        <v/>
      </c>
      <c r="C237" s="24" t="str">
        <f t="shared" si="37"/>
        <v/>
      </c>
      <c r="D237" s="23" t="str">
        <f t="shared" si="38"/>
        <v/>
      </c>
      <c r="E237" s="25" t="str">
        <f t="shared" si="39"/>
        <v/>
      </c>
      <c r="F237" s="25" t="str">
        <f>IF($E237="","",ROUND(MIN(Comparison!$B$5,MAX(0,$E237+$H237)),2))</f>
        <v/>
      </c>
      <c r="G237" s="25" t="str">
        <f>IF($E237="","",ROUND(MIN(Inputs!$B$10,MAX(0,$E237+$H237-$F237)),2))</f>
        <v/>
      </c>
      <c r="H237" s="25" t="str">
        <f>IF($E237="","",ROUND(IF(Inputs!$B$12="Daily Simple Interest",$E237*Inputs!$B$6/Inputs!$B$17*$D237,$E237*Inputs!$B$6/Inputs!$B$18),2))</f>
        <v/>
      </c>
      <c r="I237" s="25" t="str">
        <f t="shared" si="31"/>
        <v/>
      </c>
      <c r="J237" s="25" t="str">
        <f>IF($E237="","",IF($F237+$G237&gt;0,Inputs!$B$11,0))</f>
        <v/>
      </c>
      <c r="K237" s="25" t="str">
        <f t="shared" si="32"/>
        <v/>
      </c>
      <c r="L237" s="25" t="str">
        <f t="shared" si="33"/>
        <v/>
      </c>
      <c r="M237" s="25" t="str">
        <f t="shared" si="34"/>
        <v/>
      </c>
      <c r="N237" s="84" t="str">
        <f t="shared" si="35"/>
        <v/>
      </c>
      <c r="O237" s="23" t="str">
        <f t="shared" si="36"/>
        <v/>
      </c>
    </row>
    <row r="238" spans="1:15" ht="20" customHeight="1">
      <c r="A238" s="22" t="str">
        <f t="shared" si="30"/>
        <v/>
      </c>
      <c r="B238" s="23" t="str">
        <f>IF($E238="","",232)</f>
        <v/>
      </c>
      <c r="C238" s="24" t="str">
        <f t="shared" si="37"/>
        <v/>
      </c>
      <c r="D238" s="23" t="str">
        <f t="shared" si="38"/>
        <v/>
      </c>
      <c r="E238" s="25" t="str">
        <f t="shared" si="39"/>
        <v/>
      </c>
      <c r="F238" s="25" t="str">
        <f>IF($E238="","",ROUND(MIN(Comparison!$B$5,MAX(0,$E238+$H238)),2))</f>
        <v/>
      </c>
      <c r="G238" s="25" t="str">
        <f>IF($E238="","",ROUND(MIN(Inputs!$B$10,MAX(0,$E238+$H238-$F238)),2))</f>
        <v/>
      </c>
      <c r="H238" s="25" t="str">
        <f>IF($E238="","",ROUND(IF(Inputs!$B$12="Daily Simple Interest",$E238*Inputs!$B$6/Inputs!$B$17*$D238,$E238*Inputs!$B$6/Inputs!$B$18),2))</f>
        <v/>
      </c>
      <c r="I238" s="25" t="str">
        <f t="shared" si="31"/>
        <v/>
      </c>
      <c r="J238" s="25" t="str">
        <f>IF($E238="","",IF($F238+$G238&gt;0,Inputs!$B$11,0))</f>
        <v/>
      </c>
      <c r="K238" s="25" t="str">
        <f t="shared" si="32"/>
        <v/>
      </c>
      <c r="L238" s="25" t="str">
        <f t="shared" si="33"/>
        <v/>
      </c>
      <c r="M238" s="25" t="str">
        <f t="shared" si="34"/>
        <v/>
      </c>
      <c r="N238" s="84" t="str">
        <f t="shared" si="35"/>
        <v/>
      </c>
      <c r="O238" s="23" t="str">
        <f t="shared" si="36"/>
        <v/>
      </c>
    </row>
    <row r="239" spans="1:15" ht="20" customHeight="1">
      <c r="A239" s="22" t="str">
        <f t="shared" si="30"/>
        <v/>
      </c>
      <c r="B239" s="23" t="str">
        <f>IF($E239="","",233)</f>
        <v/>
      </c>
      <c r="C239" s="24" t="str">
        <f t="shared" si="37"/>
        <v/>
      </c>
      <c r="D239" s="23" t="str">
        <f t="shared" si="38"/>
        <v/>
      </c>
      <c r="E239" s="25" t="str">
        <f t="shared" si="39"/>
        <v/>
      </c>
      <c r="F239" s="25" t="str">
        <f>IF($E239="","",ROUND(MIN(Comparison!$B$5,MAX(0,$E239+$H239)),2))</f>
        <v/>
      </c>
      <c r="G239" s="25" t="str">
        <f>IF($E239="","",ROUND(MIN(Inputs!$B$10,MAX(0,$E239+$H239-$F239)),2))</f>
        <v/>
      </c>
      <c r="H239" s="25" t="str">
        <f>IF($E239="","",ROUND(IF(Inputs!$B$12="Daily Simple Interest",$E239*Inputs!$B$6/Inputs!$B$17*$D239,$E239*Inputs!$B$6/Inputs!$B$18),2))</f>
        <v/>
      </c>
      <c r="I239" s="25" t="str">
        <f t="shared" si="31"/>
        <v/>
      </c>
      <c r="J239" s="25" t="str">
        <f>IF($E239="","",IF($F239+$G239&gt;0,Inputs!$B$11,0))</f>
        <v/>
      </c>
      <c r="K239" s="25" t="str">
        <f t="shared" si="32"/>
        <v/>
      </c>
      <c r="L239" s="25" t="str">
        <f t="shared" si="33"/>
        <v/>
      </c>
      <c r="M239" s="25" t="str">
        <f t="shared" si="34"/>
        <v/>
      </c>
      <c r="N239" s="84" t="str">
        <f t="shared" si="35"/>
        <v/>
      </c>
      <c r="O239" s="23" t="str">
        <f t="shared" si="36"/>
        <v/>
      </c>
    </row>
    <row r="240" spans="1:15" ht="20" customHeight="1">
      <c r="A240" s="22" t="str">
        <f t="shared" si="30"/>
        <v/>
      </c>
      <c r="B240" s="23" t="str">
        <f>IF($E240="","",234)</f>
        <v/>
      </c>
      <c r="C240" s="24" t="str">
        <f t="shared" si="37"/>
        <v/>
      </c>
      <c r="D240" s="23" t="str">
        <f t="shared" si="38"/>
        <v/>
      </c>
      <c r="E240" s="25" t="str">
        <f t="shared" si="39"/>
        <v/>
      </c>
      <c r="F240" s="25" t="str">
        <f>IF($E240="","",ROUND(MIN(Comparison!$B$5,MAX(0,$E240+$H240)),2))</f>
        <v/>
      </c>
      <c r="G240" s="25" t="str">
        <f>IF($E240="","",ROUND(MIN(Inputs!$B$10,MAX(0,$E240+$H240-$F240)),2))</f>
        <v/>
      </c>
      <c r="H240" s="25" t="str">
        <f>IF($E240="","",ROUND(IF(Inputs!$B$12="Daily Simple Interest",$E240*Inputs!$B$6/Inputs!$B$17*$D240,$E240*Inputs!$B$6/Inputs!$B$18),2))</f>
        <v/>
      </c>
      <c r="I240" s="25" t="str">
        <f t="shared" si="31"/>
        <v/>
      </c>
      <c r="J240" s="25" t="str">
        <f>IF($E240="","",IF($F240+$G240&gt;0,Inputs!$B$11,0))</f>
        <v/>
      </c>
      <c r="K240" s="25" t="str">
        <f t="shared" si="32"/>
        <v/>
      </c>
      <c r="L240" s="25" t="str">
        <f t="shared" si="33"/>
        <v/>
      </c>
      <c r="M240" s="25" t="str">
        <f t="shared" si="34"/>
        <v/>
      </c>
      <c r="N240" s="84" t="str">
        <f t="shared" si="35"/>
        <v/>
      </c>
      <c r="O240" s="23" t="str">
        <f t="shared" si="36"/>
        <v/>
      </c>
    </row>
    <row r="241" spans="1:15" ht="20" customHeight="1">
      <c r="A241" s="22" t="str">
        <f t="shared" si="30"/>
        <v/>
      </c>
      <c r="B241" s="23" t="str">
        <f>IF($E241="","",235)</f>
        <v/>
      </c>
      <c r="C241" s="24" t="str">
        <f t="shared" si="37"/>
        <v/>
      </c>
      <c r="D241" s="23" t="str">
        <f t="shared" si="38"/>
        <v/>
      </c>
      <c r="E241" s="25" t="str">
        <f t="shared" si="39"/>
        <v/>
      </c>
      <c r="F241" s="25" t="str">
        <f>IF($E241="","",ROUND(MIN(Comparison!$B$5,MAX(0,$E241+$H241)),2))</f>
        <v/>
      </c>
      <c r="G241" s="25" t="str">
        <f>IF($E241="","",ROUND(MIN(Inputs!$B$10,MAX(0,$E241+$H241-$F241)),2))</f>
        <v/>
      </c>
      <c r="H241" s="25" t="str">
        <f>IF($E241="","",ROUND(IF(Inputs!$B$12="Daily Simple Interest",$E241*Inputs!$B$6/Inputs!$B$17*$D241,$E241*Inputs!$B$6/Inputs!$B$18),2))</f>
        <v/>
      </c>
      <c r="I241" s="25" t="str">
        <f t="shared" si="31"/>
        <v/>
      </c>
      <c r="J241" s="25" t="str">
        <f>IF($E241="","",IF($F241+$G241&gt;0,Inputs!$B$11,0))</f>
        <v/>
      </c>
      <c r="K241" s="25" t="str">
        <f t="shared" si="32"/>
        <v/>
      </c>
      <c r="L241" s="25" t="str">
        <f t="shared" si="33"/>
        <v/>
      </c>
      <c r="M241" s="25" t="str">
        <f t="shared" si="34"/>
        <v/>
      </c>
      <c r="N241" s="84" t="str">
        <f t="shared" si="35"/>
        <v/>
      </c>
      <c r="O241" s="23" t="str">
        <f t="shared" si="36"/>
        <v/>
      </c>
    </row>
    <row r="242" spans="1:15" ht="20" customHeight="1">
      <c r="A242" s="22" t="str">
        <f t="shared" si="30"/>
        <v/>
      </c>
      <c r="B242" s="23" t="str">
        <f>IF($E242="","",236)</f>
        <v/>
      </c>
      <c r="C242" s="24" t="str">
        <f t="shared" si="37"/>
        <v/>
      </c>
      <c r="D242" s="23" t="str">
        <f t="shared" si="38"/>
        <v/>
      </c>
      <c r="E242" s="25" t="str">
        <f t="shared" si="39"/>
        <v/>
      </c>
      <c r="F242" s="25" t="str">
        <f>IF($E242="","",ROUND(MIN(Comparison!$B$5,MAX(0,$E242+$H242)),2))</f>
        <v/>
      </c>
      <c r="G242" s="25" t="str">
        <f>IF($E242="","",ROUND(MIN(Inputs!$B$10,MAX(0,$E242+$H242-$F242)),2))</f>
        <v/>
      </c>
      <c r="H242" s="25" t="str">
        <f>IF($E242="","",ROUND(IF(Inputs!$B$12="Daily Simple Interest",$E242*Inputs!$B$6/Inputs!$B$17*$D242,$E242*Inputs!$B$6/Inputs!$B$18),2))</f>
        <v/>
      </c>
      <c r="I242" s="25" t="str">
        <f t="shared" si="31"/>
        <v/>
      </c>
      <c r="J242" s="25" t="str">
        <f>IF($E242="","",IF($F242+$G242&gt;0,Inputs!$B$11,0))</f>
        <v/>
      </c>
      <c r="K242" s="25" t="str">
        <f t="shared" si="32"/>
        <v/>
      </c>
      <c r="L242" s="25" t="str">
        <f t="shared" si="33"/>
        <v/>
      </c>
      <c r="M242" s="25" t="str">
        <f t="shared" si="34"/>
        <v/>
      </c>
      <c r="N242" s="84" t="str">
        <f t="shared" si="35"/>
        <v/>
      </c>
      <c r="O242" s="23" t="str">
        <f t="shared" si="36"/>
        <v/>
      </c>
    </row>
    <row r="243" spans="1:15" ht="20" customHeight="1">
      <c r="A243" s="22" t="str">
        <f t="shared" si="30"/>
        <v/>
      </c>
      <c r="B243" s="23" t="str">
        <f>IF($E243="","",237)</f>
        <v/>
      </c>
      <c r="C243" s="24" t="str">
        <f t="shared" si="37"/>
        <v/>
      </c>
      <c r="D243" s="23" t="str">
        <f t="shared" si="38"/>
        <v/>
      </c>
      <c r="E243" s="25" t="str">
        <f t="shared" si="39"/>
        <v/>
      </c>
      <c r="F243" s="25" t="str">
        <f>IF($E243="","",ROUND(MIN(Comparison!$B$5,MAX(0,$E243+$H243)),2))</f>
        <v/>
      </c>
      <c r="G243" s="25" t="str">
        <f>IF($E243="","",ROUND(MIN(Inputs!$B$10,MAX(0,$E243+$H243-$F243)),2))</f>
        <v/>
      </c>
      <c r="H243" s="25" t="str">
        <f>IF($E243="","",ROUND(IF(Inputs!$B$12="Daily Simple Interest",$E243*Inputs!$B$6/Inputs!$B$17*$D243,$E243*Inputs!$B$6/Inputs!$B$18),2))</f>
        <v/>
      </c>
      <c r="I243" s="25" t="str">
        <f t="shared" si="31"/>
        <v/>
      </c>
      <c r="J243" s="25" t="str">
        <f>IF($E243="","",IF($F243+$G243&gt;0,Inputs!$B$11,0))</f>
        <v/>
      </c>
      <c r="K243" s="25" t="str">
        <f t="shared" si="32"/>
        <v/>
      </c>
      <c r="L243" s="25" t="str">
        <f t="shared" si="33"/>
        <v/>
      </c>
      <c r="M243" s="25" t="str">
        <f t="shared" si="34"/>
        <v/>
      </c>
      <c r="N243" s="84" t="str">
        <f t="shared" si="35"/>
        <v/>
      </c>
      <c r="O243" s="23" t="str">
        <f t="shared" si="36"/>
        <v/>
      </c>
    </row>
    <row r="244" spans="1:15" ht="20" customHeight="1">
      <c r="A244" s="22" t="str">
        <f t="shared" si="30"/>
        <v/>
      </c>
      <c r="B244" s="23" t="str">
        <f>IF($E244="","",238)</f>
        <v/>
      </c>
      <c r="C244" s="24" t="str">
        <f t="shared" si="37"/>
        <v/>
      </c>
      <c r="D244" s="23" t="str">
        <f t="shared" si="38"/>
        <v/>
      </c>
      <c r="E244" s="25" t="str">
        <f t="shared" si="39"/>
        <v/>
      </c>
      <c r="F244" s="25" t="str">
        <f>IF($E244="","",ROUND(MIN(Comparison!$B$5,MAX(0,$E244+$H244)),2))</f>
        <v/>
      </c>
      <c r="G244" s="25" t="str">
        <f>IF($E244="","",ROUND(MIN(Inputs!$B$10,MAX(0,$E244+$H244-$F244)),2))</f>
        <v/>
      </c>
      <c r="H244" s="25" t="str">
        <f>IF($E244="","",ROUND(IF(Inputs!$B$12="Daily Simple Interest",$E244*Inputs!$B$6/Inputs!$B$17*$D244,$E244*Inputs!$B$6/Inputs!$B$18),2))</f>
        <v/>
      </c>
      <c r="I244" s="25" t="str">
        <f t="shared" si="31"/>
        <v/>
      </c>
      <c r="J244" s="25" t="str">
        <f>IF($E244="","",IF($F244+$G244&gt;0,Inputs!$B$11,0))</f>
        <v/>
      </c>
      <c r="K244" s="25" t="str">
        <f t="shared" si="32"/>
        <v/>
      </c>
      <c r="L244" s="25" t="str">
        <f t="shared" si="33"/>
        <v/>
      </c>
      <c r="M244" s="25" t="str">
        <f t="shared" si="34"/>
        <v/>
      </c>
      <c r="N244" s="84" t="str">
        <f t="shared" si="35"/>
        <v/>
      </c>
      <c r="O244" s="23" t="str">
        <f t="shared" si="36"/>
        <v/>
      </c>
    </row>
    <row r="245" spans="1:15" ht="20" customHeight="1">
      <c r="A245" s="22" t="str">
        <f t="shared" si="30"/>
        <v/>
      </c>
      <c r="B245" s="23" t="str">
        <f>IF($E245="","",239)</f>
        <v/>
      </c>
      <c r="C245" s="24" t="str">
        <f t="shared" si="37"/>
        <v/>
      </c>
      <c r="D245" s="23" t="str">
        <f t="shared" si="38"/>
        <v/>
      </c>
      <c r="E245" s="25" t="str">
        <f t="shared" si="39"/>
        <v/>
      </c>
      <c r="F245" s="25" t="str">
        <f>IF($E245="","",ROUND(MIN(Comparison!$B$5,MAX(0,$E245+$H245)),2))</f>
        <v/>
      </c>
      <c r="G245" s="25" t="str">
        <f>IF($E245="","",ROUND(MIN(Inputs!$B$10,MAX(0,$E245+$H245-$F245)),2))</f>
        <v/>
      </c>
      <c r="H245" s="25" t="str">
        <f>IF($E245="","",ROUND(IF(Inputs!$B$12="Daily Simple Interest",$E245*Inputs!$B$6/Inputs!$B$17*$D245,$E245*Inputs!$B$6/Inputs!$B$18),2))</f>
        <v/>
      </c>
      <c r="I245" s="25" t="str">
        <f t="shared" si="31"/>
        <v/>
      </c>
      <c r="J245" s="25" t="str">
        <f>IF($E245="","",IF($F245+$G245&gt;0,Inputs!$B$11,0))</f>
        <v/>
      </c>
      <c r="K245" s="25" t="str">
        <f t="shared" si="32"/>
        <v/>
      </c>
      <c r="L245" s="25" t="str">
        <f t="shared" si="33"/>
        <v/>
      </c>
      <c r="M245" s="25" t="str">
        <f t="shared" si="34"/>
        <v/>
      </c>
      <c r="N245" s="84" t="str">
        <f t="shared" si="35"/>
        <v/>
      </c>
      <c r="O245" s="23" t="str">
        <f t="shared" si="36"/>
        <v/>
      </c>
    </row>
    <row r="246" spans="1:15" ht="20" customHeight="1">
      <c r="A246" s="22" t="str">
        <f t="shared" si="30"/>
        <v/>
      </c>
      <c r="B246" s="23" t="str">
        <f>IF($E246="","",240)</f>
        <v/>
      </c>
      <c r="C246" s="24" t="str">
        <f t="shared" si="37"/>
        <v/>
      </c>
      <c r="D246" s="23" t="str">
        <f t="shared" si="38"/>
        <v/>
      </c>
      <c r="E246" s="25" t="str">
        <f t="shared" si="39"/>
        <v/>
      </c>
      <c r="F246" s="25" t="str">
        <f>IF($E246="","",ROUND(MIN(Comparison!$B$5,MAX(0,$E246+$H246)),2))</f>
        <v/>
      </c>
      <c r="G246" s="25" t="str">
        <f>IF($E246="","",ROUND(MIN(Inputs!$B$10,MAX(0,$E246+$H246-$F246)),2))</f>
        <v/>
      </c>
      <c r="H246" s="25" t="str">
        <f>IF($E246="","",ROUND(IF(Inputs!$B$12="Daily Simple Interest",$E246*Inputs!$B$6/Inputs!$B$17*$D246,$E246*Inputs!$B$6/Inputs!$B$18),2))</f>
        <v/>
      </c>
      <c r="I246" s="25" t="str">
        <f t="shared" si="31"/>
        <v/>
      </c>
      <c r="J246" s="25" t="str">
        <f>IF($E246="","",IF($F246+$G246&gt;0,Inputs!$B$11,0))</f>
        <v/>
      </c>
      <c r="K246" s="25" t="str">
        <f t="shared" si="32"/>
        <v/>
      </c>
      <c r="L246" s="25" t="str">
        <f t="shared" si="33"/>
        <v/>
      </c>
      <c r="M246" s="25" t="str">
        <f t="shared" si="34"/>
        <v/>
      </c>
      <c r="N246" s="84" t="str">
        <f t="shared" si="35"/>
        <v/>
      </c>
      <c r="O246" s="23" t="str">
        <f t="shared" si="36"/>
        <v/>
      </c>
    </row>
    <row r="247" spans="1:15" ht="20" customHeight="1">
      <c r="A247" s="22" t="str">
        <f t="shared" si="30"/>
        <v/>
      </c>
      <c r="B247" s="23" t="str">
        <f>IF($E247="","",241)</f>
        <v/>
      </c>
      <c r="C247" s="24" t="str">
        <f t="shared" si="37"/>
        <v/>
      </c>
      <c r="D247" s="23" t="str">
        <f t="shared" si="38"/>
        <v/>
      </c>
      <c r="E247" s="25" t="str">
        <f t="shared" si="39"/>
        <v/>
      </c>
      <c r="F247" s="25" t="str">
        <f>IF($E247="","",ROUND(MIN(Comparison!$B$5,MAX(0,$E247+$H247)),2))</f>
        <v/>
      </c>
      <c r="G247" s="25" t="str">
        <f>IF($E247="","",ROUND(MIN(Inputs!$B$10,MAX(0,$E247+$H247-$F247)),2))</f>
        <v/>
      </c>
      <c r="H247" s="25" t="str">
        <f>IF($E247="","",ROUND(IF(Inputs!$B$12="Daily Simple Interest",$E247*Inputs!$B$6/Inputs!$B$17*$D247,$E247*Inputs!$B$6/Inputs!$B$18),2))</f>
        <v/>
      </c>
      <c r="I247" s="25" t="str">
        <f t="shared" si="31"/>
        <v/>
      </c>
      <c r="J247" s="25" t="str">
        <f>IF($E247="","",IF($F247+$G247&gt;0,Inputs!$B$11,0))</f>
        <v/>
      </c>
      <c r="K247" s="25" t="str">
        <f t="shared" si="32"/>
        <v/>
      </c>
      <c r="L247" s="25" t="str">
        <f t="shared" si="33"/>
        <v/>
      </c>
      <c r="M247" s="25" t="str">
        <f t="shared" si="34"/>
        <v/>
      </c>
      <c r="N247" s="84" t="str">
        <f t="shared" si="35"/>
        <v/>
      </c>
      <c r="O247" s="23" t="str">
        <f t="shared" si="36"/>
        <v/>
      </c>
    </row>
    <row r="248" spans="1:15" ht="20" customHeight="1">
      <c r="A248" s="22" t="str">
        <f t="shared" si="30"/>
        <v/>
      </c>
      <c r="B248" s="23" t="str">
        <f>IF($E248="","",242)</f>
        <v/>
      </c>
      <c r="C248" s="24" t="str">
        <f t="shared" si="37"/>
        <v/>
      </c>
      <c r="D248" s="23" t="str">
        <f t="shared" si="38"/>
        <v/>
      </c>
      <c r="E248" s="25" t="str">
        <f t="shared" si="39"/>
        <v/>
      </c>
      <c r="F248" s="25" t="str">
        <f>IF($E248="","",ROUND(MIN(Comparison!$B$5,MAX(0,$E248+$H248)),2))</f>
        <v/>
      </c>
      <c r="G248" s="25" t="str">
        <f>IF($E248="","",ROUND(MIN(Inputs!$B$10,MAX(0,$E248+$H248-$F248)),2))</f>
        <v/>
      </c>
      <c r="H248" s="25" t="str">
        <f>IF($E248="","",ROUND(IF(Inputs!$B$12="Daily Simple Interest",$E248*Inputs!$B$6/Inputs!$B$17*$D248,$E248*Inputs!$B$6/Inputs!$B$18),2))</f>
        <v/>
      </c>
      <c r="I248" s="25" t="str">
        <f t="shared" si="31"/>
        <v/>
      </c>
      <c r="J248" s="25" t="str">
        <f>IF($E248="","",IF($F248+$G248&gt;0,Inputs!$B$11,0))</f>
        <v/>
      </c>
      <c r="K248" s="25" t="str">
        <f t="shared" si="32"/>
        <v/>
      </c>
      <c r="L248" s="25" t="str">
        <f t="shared" si="33"/>
        <v/>
      </c>
      <c r="M248" s="25" t="str">
        <f t="shared" si="34"/>
        <v/>
      </c>
      <c r="N248" s="84" t="str">
        <f t="shared" si="35"/>
        <v/>
      </c>
      <c r="O248" s="23" t="str">
        <f t="shared" si="36"/>
        <v/>
      </c>
    </row>
    <row r="249" spans="1:15" ht="20" customHeight="1">
      <c r="A249" s="22" t="str">
        <f t="shared" si="30"/>
        <v/>
      </c>
      <c r="B249" s="23" t="str">
        <f>IF($E249="","",243)</f>
        <v/>
      </c>
      <c r="C249" s="24" t="str">
        <f t="shared" si="37"/>
        <v/>
      </c>
      <c r="D249" s="23" t="str">
        <f t="shared" si="38"/>
        <v/>
      </c>
      <c r="E249" s="25" t="str">
        <f t="shared" si="39"/>
        <v/>
      </c>
      <c r="F249" s="25" t="str">
        <f>IF($E249="","",ROUND(MIN(Comparison!$B$5,MAX(0,$E249+$H249)),2))</f>
        <v/>
      </c>
      <c r="G249" s="25" t="str">
        <f>IF($E249="","",ROUND(MIN(Inputs!$B$10,MAX(0,$E249+$H249-$F249)),2))</f>
        <v/>
      </c>
      <c r="H249" s="25" t="str">
        <f>IF($E249="","",ROUND(IF(Inputs!$B$12="Daily Simple Interest",$E249*Inputs!$B$6/Inputs!$B$17*$D249,$E249*Inputs!$B$6/Inputs!$B$18),2))</f>
        <v/>
      </c>
      <c r="I249" s="25" t="str">
        <f t="shared" si="31"/>
        <v/>
      </c>
      <c r="J249" s="25" t="str">
        <f>IF($E249="","",IF($F249+$G249&gt;0,Inputs!$B$11,0))</f>
        <v/>
      </c>
      <c r="K249" s="25" t="str">
        <f t="shared" si="32"/>
        <v/>
      </c>
      <c r="L249" s="25" t="str">
        <f t="shared" si="33"/>
        <v/>
      </c>
      <c r="M249" s="25" t="str">
        <f t="shared" si="34"/>
        <v/>
      </c>
      <c r="N249" s="84" t="str">
        <f t="shared" si="35"/>
        <v/>
      </c>
      <c r="O249" s="23" t="str">
        <f t="shared" si="36"/>
        <v/>
      </c>
    </row>
    <row r="250" spans="1:15" ht="20" customHeight="1">
      <c r="A250" s="22" t="str">
        <f t="shared" si="30"/>
        <v/>
      </c>
      <c r="B250" s="23" t="str">
        <f>IF($E250="","",244)</f>
        <v/>
      </c>
      <c r="C250" s="24" t="str">
        <f t="shared" si="37"/>
        <v/>
      </c>
      <c r="D250" s="23" t="str">
        <f t="shared" si="38"/>
        <v/>
      </c>
      <c r="E250" s="25" t="str">
        <f t="shared" si="39"/>
        <v/>
      </c>
      <c r="F250" s="25" t="str">
        <f>IF($E250="","",ROUND(MIN(Comparison!$B$5,MAX(0,$E250+$H250)),2))</f>
        <v/>
      </c>
      <c r="G250" s="25" t="str">
        <f>IF($E250="","",ROUND(MIN(Inputs!$B$10,MAX(0,$E250+$H250-$F250)),2))</f>
        <v/>
      </c>
      <c r="H250" s="25" t="str">
        <f>IF($E250="","",ROUND(IF(Inputs!$B$12="Daily Simple Interest",$E250*Inputs!$B$6/Inputs!$B$17*$D250,$E250*Inputs!$B$6/Inputs!$B$18),2))</f>
        <v/>
      </c>
      <c r="I250" s="25" t="str">
        <f t="shared" si="31"/>
        <v/>
      </c>
      <c r="J250" s="25" t="str">
        <f>IF($E250="","",IF($F250+$G250&gt;0,Inputs!$B$11,0))</f>
        <v/>
      </c>
      <c r="K250" s="25" t="str">
        <f t="shared" si="32"/>
        <v/>
      </c>
      <c r="L250" s="25" t="str">
        <f t="shared" si="33"/>
        <v/>
      </c>
      <c r="M250" s="25" t="str">
        <f t="shared" si="34"/>
        <v/>
      </c>
      <c r="N250" s="84" t="str">
        <f t="shared" si="35"/>
        <v/>
      </c>
      <c r="O250" s="23" t="str">
        <f t="shared" si="36"/>
        <v/>
      </c>
    </row>
    <row r="251" spans="1:15" ht="20" customHeight="1">
      <c r="A251" s="22" t="str">
        <f t="shared" si="30"/>
        <v/>
      </c>
      <c r="B251" s="23" t="str">
        <f>IF($E251="","",245)</f>
        <v/>
      </c>
      <c r="C251" s="24" t="str">
        <f t="shared" si="37"/>
        <v/>
      </c>
      <c r="D251" s="23" t="str">
        <f t="shared" si="38"/>
        <v/>
      </c>
      <c r="E251" s="25" t="str">
        <f t="shared" si="39"/>
        <v/>
      </c>
      <c r="F251" s="25" t="str">
        <f>IF($E251="","",ROUND(MIN(Comparison!$B$5,MAX(0,$E251+$H251)),2))</f>
        <v/>
      </c>
      <c r="G251" s="25" t="str">
        <f>IF($E251="","",ROUND(MIN(Inputs!$B$10,MAX(0,$E251+$H251-$F251)),2))</f>
        <v/>
      </c>
      <c r="H251" s="25" t="str">
        <f>IF($E251="","",ROUND(IF(Inputs!$B$12="Daily Simple Interest",$E251*Inputs!$B$6/Inputs!$B$17*$D251,$E251*Inputs!$B$6/Inputs!$B$18),2))</f>
        <v/>
      </c>
      <c r="I251" s="25" t="str">
        <f t="shared" si="31"/>
        <v/>
      </c>
      <c r="J251" s="25" t="str">
        <f>IF($E251="","",IF($F251+$G251&gt;0,Inputs!$B$11,0))</f>
        <v/>
      </c>
      <c r="K251" s="25" t="str">
        <f t="shared" si="32"/>
        <v/>
      </c>
      <c r="L251" s="25" t="str">
        <f t="shared" si="33"/>
        <v/>
      </c>
      <c r="M251" s="25" t="str">
        <f t="shared" si="34"/>
        <v/>
      </c>
      <c r="N251" s="84" t="str">
        <f t="shared" si="35"/>
        <v/>
      </c>
      <c r="O251" s="23" t="str">
        <f t="shared" si="36"/>
        <v/>
      </c>
    </row>
    <row r="252" spans="1:15" ht="20" customHeight="1">
      <c r="A252" s="22" t="str">
        <f t="shared" si="30"/>
        <v/>
      </c>
      <c r="B252" s="23" t="str">
        <f>IF($E252="","",246)</f>
        <v/>
      </c>
      <c r="C252" s="24" t="str">
        <f t="shared" si="37"/>
        <v/>
      </c>
      <c r="D252" s="23" t="str">
        <f t="shared" si="38"/>
        <v/>
      </c>
      <c r="E252" s="25" t="str">
        <f t="shared" si="39"/>
        <v/>
      </c>
      <c r="F252" s="25" t="str">
        <f>IF($E252="","",ROUND(MIN(Comparison!$B$5,MAX(0,$E252+$H252)),2))</f>
        <v/>
      </c>
      <c r="G252" s="25" t="str">
        <f>IF($E252="","",ROUND(MIN(Inputs!$B$10,MAX(0,$E252+$H252-$F252)),2))</f>
        <v/>
      </c>
      <c r="H252" s="25" t="str">
        <f>IF($E252="","",ROUND(IF(Inputs!$B$12="Daily Simple Interest",$E252*Inputs!$B$6/Inputs!$B$17*$D252,$E252*Inputs!$B$6/Inputs!$B$18),2))</f>
        <v/>
      </c>
      <c r="I252" s="25" t="str">
        <f t="shared" si="31"/>
        <v/>
      </c>
      <c r="J252" s="25" t="str">
        <f>IF($E252="","",IF($F252+$G252&gt;0,Inputs!$B$11,0))</f>
        <v/>
      </c>
      <c r="K252" s="25" t="str">
        <f t="shared" si="32"/>
        <v/>
      </c>
      <c r="L252" s="25" t="str">
        <f t="shared" si="33"/>
        <v/>
      </c>
      <c r="M252" s="25" t="str">
        <f t="shared" si="34"/>
        <v/>
      </c>
      <c r="N252" s="84" t="str">
        <f t="shared" si="35"/>
        <v/>
      </c>
      <c r="O252" s="23" t="str">
        <f t="shared" si="36"/>
        <v/>
      </c>
    </row>
    <row r="253" spans="1:15" ht="20" customHeight="1">
      <c r="A253" s="22" t="str">
        <f t="shared" si="30"/>
        <v/>
      </c>
      <c r="B253" s="23" t="str">
        <f>IF($E253="","",247)</f>
        <v/>
      </c>
      <c r="C253" s="24" t="str">
        <f t="shared" si="37"/>
        <v/>
      </c>
      <c r="D253" s="23" t="str">
        <f t="shared" si="38"/>
        <v/>
      </c>
      <c r="E253" s="25" t="str">
        <f t="shared" si="39"/>
        <v/>
      </c>
      <c r="F253" s="25" t="str">
        <f>IF($E253="","",ROUND(MIN(Comparison!$B$5,MAX(0,$E253+$H253)),2))</f>
        <v/>
      </c>
      <c r="G253" s="25" t="str">
        <f>IF($E253="","",ROUND(MIN(Inputs!$B$10,MAX(0,$E253+$H253-$F253)),2))</f>
        <v/>
      </c>
      <c r="H253" s="25" t="str">
        <f>IF($E253="","",ROUND(IF(Inputs!$B$12="Daily Simple Interest",$E253*Inputs!$B$6/Inputs!$B$17*$D253,$E253*Inputs!$B$6/Inputs!$B$18),2))</f>
        <v/>
      </c>
      <c r="I253" s="25" t="str">
        <f t="shared" si="31"/>
        <v/>
      </c>
      <c r="J253" s="25" t="str">
        <f>IF($E253="","",IF($F253+$G253&gt;0,Inputs!$B$11,0))</f>
        <v/>
      </c>
      <c r="K253" s="25" t="str">
        <f t="shared" si="32"/>
        <v/>
      </c>
      <c r="L253" s="25" t="str">
        <f t="shared" si="33"/>
        <v/>
      </c>
      <c r="M253" s="25" t="str">
        <f t="shared" si="34"/>
        <v/>
      </c>
      <c r="N253" s="84" t="str">
        <f t="shared" si="35"/>
        <v/>
      </c>
      <c r="O253" s="23" t="str">
        <f t="shared" si="36"/>
        <v/>
      </c>
    </row>
    <row r="254" spans="1:15" ht="20" customHeight="1">
      <c r="A254" s="22" t="str">
        <f t="shared" si="30"/>
        <v/>
      </c>
      <c r="B254" s="23" t="str">
        <f>IF($E254="","",248)</f>
        <v/>
      </c>
      <c r="C254" s="24" t="str">
        <f t="shared" si="37"/>
        <v/>
      </c>
      <c r="D254" s="23" t="str">
        <f t="shared" si="38"/>
        <v/>
      </c>
      <c r="E254" s="25" t="str">
        <f t="shared" si="39"/>
        <v/>
      </c>
      <c r="F254" s="25" t="str">
        <f>IF($E254="","",ROUND(MIN(Comparison!$B$5,MAX(0,$E254+$H254)),2))</f>
        <v/>
      </c>
      <c r="G254" s="25" t="str">
        <f>IF($E254="","",ROUND(MIN(Inputs!$B$10,MAX(0,$E254+$H254-$F254)),2))</f>
        <v/>
      </c>
      <c r="H254" s="25" t="str">
        <f>IF($E254="","",ROUND(IF(Inputs!$B$12="Daily Simple Interest",$E254*Inputs!$B$6/Inputs!$B$17*$D254,$E254*Inputs!$B$6/Inputs!$B$18),2))</f>
        <v/>
      </c>
      <c r="I254" s="25" t="str">
        <f t="shared" si="31"/>
        <v/>
      </c>
      <c r="J254" s="25" t="str">
        <f>IF($E254="","",IF($F254+$G254&gt;0,Inputs!$B$11,0))</f>
        <v/>
      </c>
      <c r="K254" s="25" t="str">
        <f t="shared" si="32"/>
        <v/>
      </c>
      <c r="L254" s="25" t="str">
        <f t="shared" si="33"/>
        <v/>
      </c>
      <c r="M254" s="25" t="str">
        <f t="shared" si="34"/>
        <v/>
      </c>
      <c r="N254" s="84" t="str">
        <f t="shared" si="35"/>
        <v/>
      </c>
      <c r="O254" s="23" t="str">
        <f t="shared" si="36"/>
        <v/>
      </c>
    </row>
    <row r="255" spans="1:15" ht="20" customHeight="1">
      <c r="A255" s="22" t="str">
        <f t="shared" si="30"/>
        <v/>
      </c>
      <c r="B255" s="23" t="str">
        <f>IF($E255="","",249)</f>
        <v/>
      </c>
      <c r="C255" s="24" t="str">
        <f t="shared" si="37"/>
        <v/>
      </c>
      <c r="D255" s="23" t="str">
        <f t="shared" si="38"/>
        <v/>
      </c>
      <c r="E255" s="25" t="str">
        <f t="shared" si="39"/>
        <v/>
      </c>
      <c r="F255" s="25" t="str">
        <f>IF($E255="","",ROUND(MIN(Comparison!$B$5,MAX(0,$E255+$H255)),2))</f>
        <v/>
      </c>
      <c r="G255" s="25" t="str">
        <f>IF($E255="","",ROUND(MIN(Inputs!$B$10,MAX(0,$E255+$H255-$F255)),2))</f>
        <v/>
      </c>
      <c r="H255" s="25" t="str">
        <f>IF($E255="","",ROUND(IF(Inputs!$B$12="Daily Simple Interest",$E255*Inputs!$B$6/Inputs!$B$17*$D255,$E255*Inputs!$B$6/Inputs!$B$18),2))</f>
        <v/>
      </c>
      <c r="I255" s="25" t="str">
        <f t="shared" si="31"/>
        <v/>
      </c>
      <c r="J255" s="25" t="str">
        <f>IF($E255="","",IF($F255+$G255&gt;0,Inputs!$B$11,0))</f>
        <v/>
      </c>
      <c r="K255" s="25" t="str">
        <f t="shared" si="32"/>
        <v/>
      </c>
      <c r="L255" s="25" t="str">
        <f t="shared" si="33"/>
        <v/>
      </c>
      <c r="M255" s="25" t="str">
        <f t="shared" si="34"/>
        <v/>
      </c>
      <c r="N255" s="84" t="str">
        <f t="shared" si="35"/>
        <v/>
      </c>
      <c r="O255" s="23" t="str">
        <f t="shared" si="36"/>
        <v/>
      </c>
    </row>
    <row r="256" spans="1:15" ht="20" customHeight="1">
      <c r="A256" s="22" t="str">
        <f t="shared" si="30"/>
        <v/>
      </c>
      <c r="B256" s="23" t="str">
        <f>IF($E256="","",250)</f>
        <v/>
      </c>
      <c r="C256" s="24" t="str">
        <f t="shared" si="37"/>
        <v/>
      </c>
      <c r="D256" s="23" t="str">
        <f t="shared" si="38"/>
        <v/>
      </c>
      <c r="E256" s="25" t="str">
        <f t="shared" si="39"/>
        <v/>
      </c>
      <c r="F256" s="25" t="str">
        <f>IF($E256="","",ROUND(MIN(Comparison!$B$5,MAX(0,$E256+$H256)),2))</f>
        <v/>
      </c>
      <c r="G256" s="25" t="str">
        <f>IF($E256="","",ROUND(MIN(Inputs!$B$10,MAX(0,$E256+$H256-$F256)),2))</f>
        <v/>
      </c>
      <c r="H256" s="25" t="str">
        <f>IF($E256="","",ROUND(IF(Inputs!$B$12="Daily Simple Interest",$E256*Inputs!$B$6/Inputs!$B$17*$D256,$E256*Inputs!$B$6/Inputs!$B$18),2))</f>
        <v/>
      </c>
      <c r="I256" s="25" t="str">
        <f t="shared" si="31"/>
        <v/>
      </c>
      <c r="J256" s="25" t="str">
        <f>IF($E256="","",IF($F256+$G256&gt;0,Inputs!$B$11,0))</f>
        <v/>
      </c>
      <c r="K256" s="25" t="str">
        <f t="shared" si="32"/>
        <v/>
      </c>
      <c r="L256" s="25" t="str">
        <f t="shared" si="33"/>
        <v/>
      </c>
      <c r="M256" s="25" t="str">
        <f t="shared" si="34"/>
        <v/>
      </c>
      <c r="N256" s="84" t="str">
        <f t="shared" si="35"/>
        <v/>
      </c>
      <c r="O256" s="23" t="str">
        <f t="shared" si="36"/>
        <v/>
      </c>
    </row>
    <row r="257" spans="1:15" ht="20" customHeight="1">
      <c r="A257" s="22" t="str">
        <f t="shared" si="30"/>
        <v/>
      </c>
      <c r="B257" s="23" t="str">
        <f>IF($E257="","",251)</f>
        <v/>
      </c>
      <c r="C257" s="24" t="str">
        <f t="shared" si="37"/>
        <v/>
      </c>
      <c r="D257" s="23" t="str">
        <f t="shared" si="38"/>
        <v/>
      </c>
      <c r="E257" s="25" t="str">
        <f t="shared" si="39"/>
        <v/>
      </c>
      <c r="F257" s="25" t="str">
        <f>IF($E257="","",ROUND(MIN(Comparison!$B$5,MAX(0,$E257+$H257)),2))</f>
        <v/>
      </c>
      <c r="G257" s="25" t="str">
        <f>IF($E257="","",ROUND(MIN(Inputs!$B$10,MAX(0,$E257+$H257-$F257)),2))</f>
        <v/>
      </c>
      <c r="H257" s="25" t="str">
        <f>IF($E257="","",ROUND(IF(Inputs!$B$12="Daily Simple Interest",$E257*Inputs!$B$6/Inputs!$B$17*$D257,$E257*Inputs!$B$6/Inputs!$B$18),2))</f>
        <v/>
      </c>
      <c r="I257" s="25" t="str">
        <f t="shared" si="31"/>
        <v/>
      </c>
      <c r="J257" s="25" t="str">
        <f>IF($E257="","",IF($F257+$G257&gt;0,Inputs!$B$11,0))</f>
        <v/>
      </c>
      <c r="K257" s="25" t="str">
        <f t="shared" si="32"/>
        <v/>
      </c>
      <c r="L257" s="25" t="str">
        <f t="shared" si="33"/>
        <v/>
      </c>
      <c r="M257" s="25" t="str">
        <f t="shared" si="34"/>
        <v/>
      </c>
      <c r="N257" s="84" t="str">
        <f t="shared" si="35"/>
        <v/>
      </c>
      <c r="O257" s="23" t="str">
        <f t="shared" si="36"/>
        <v/>
      </c>
    </row>
    <row r="258" spans="1:15" ht="20" customHeight="1">
      <c r="A258" s="22" t="str">
        <f t="shared" si="30"/>
        <v/>
      </c>
      <c r="B258" s="23" t="str">
        <f>IF($E258="","",252)</f>
        <v/>
      </c>
      <c r="C258" s="24" t="str">
        <f t="shared" si="37"/>
        <v/>
      </c>
      <c r="D258" s="23" t="str">
        <f t="shared" si="38"/>
        <v/>
      </c>
      <c r="E258" s="25" t="str">
        <f t="shared" si="39"/>
        <v/>
      </c>
      <c r="F258" s="25" t="str">
        <f>IF($E258="","",ROUND(MIN(Comparison!$B$5,MAX(0,$E258+$H258)),2))</f>
        <v/>
      </c>
      <c r="G258" s="25" t="str">
        <f>IF($E258="","",ROUND(MIN(Inputs!$B$10,MAX(0,$E258+$H258-$F258)),2))</f>
        <v/>
      </c>
      <c r="H258" s="25" t="str">
        <f>IF($E258="","",ROUND(IF(Inputs!$B$12="Daily Simple Interest",$E258*Inputs!$B$6/Inputs!$B$17*$D258,$E258*Inputs!$B$6/Inputs!$B$18),2))</f>
        <v/>
      </c>
      <c r="I258" s="25" t="str">
        <f t="shared" si="31"/>
        <v/>
      </c>
      <c r="J258" s="25" t="str">
        <f>IF($E258="","",IF($F258+$G258&gt;0,Inputs!$B$11,0))</f>
        <v/>
      </c>
      <c r="K258" s="25" t="str">
        <f t="shared" si="32"/>
        <v/>
      </c>
      <c r="L258" s="25" t="str">
        <f t="shared" si="33"/>
        <v/>
      </c>
      <c r="M258" s="25" t="str">
        <f t="shared" si="34"/>
        <v/>
      </c>
      <c r="N258" s="84" t="str">
        <f t="shared" si="35"/>
        <v/>
      </c>
      <c r="O258" s="23" t="str">
        <f t="shared" si="36"/>
        <v/>
      </c>
    </row>
    <row r="259" spans="1:15" ht="20" customHeight="1">
      <c r="A259" s="22" t="str">
        <f t="shared" si="30"/>
        <v/>
      </c>
      <c r="B259" s="23" t="str">
        <f>IF($E259="","",253)</f>
        <v/>
      </c>
      <c r="C259" s="24" t="str">
        <f t="shared" si="37"/>
        <v/>
      </c>
      <c r="D259" s="23" t="str">
        <f t="shared" si="38"/>
        <v/>
      </c>
      <c r="E259" s="25" t="str">
        <f t="shared" si="39"/>
        <v/>
      </c>
      <c r="F259" s="25" t="str">
        <f>IF($E259="","",ROUND(MIN(Comparison!$B$5,MAX(0,$E259+$H259)),2))</f>
        <v/>
      </c>
      <c r="G259" s="25" t="str">
        <f>IF($E259="","",ROUND(MIN(Inputs!$B$10,MAX(0,$E259+$H259-$F259)),2))</f>
        <v/>
      </c>
      <c r="H259" s="25" t="str">
        <f>IF($E259="","",ROUND(IF(Inputs!$B$12="Daily Simple Interest",$E259*Inputs!$B$6/Inputs!$B$17*$D259,$E259*Inputs!$B$6/Inputs!$B$18),2))</f>
        <v/>
      </c>
      <c r="I259" s="25" t="str">
        <f t="shared" si="31"/>
        <v/>
      </c>
      <c r="J259" s="25" t="str">
        <f>IF($E259="","",IF($F259+$G259&gt;0,Inputs!$B$11,0))</f>
        <v/>
      </c>
      <c r="K259" s="25" t="str">
        <f t="shared" si="32"/>
        <v/>
      </c>
      <c r="L259" s="25" t="str">
        <f t="shared" si="33"/>
        <v/>
      </c>
      <c r="M259" s="25" t="str">
        <f t="shared" si="34"/>
        <v/>
      </c>
      <c r="N259" s="84" t="str">
        <f t="shared" si="35"/>
        <v/>
      </c>
      <c r="O259" s="23" t="str">
        <f t="shared" si="36"/>
        <v/>
      </c>
    </row>
    <row r="260" spans="1:15" ht="20" customHeight="1">
      <c r="A260" s="22" t="str">
        <f t="shared" si="30"/>
        <v/>
      </c>
      <c r="B260" s="23" t="str">
        <f>IF($E260="","",254)</f>
        <v/>
      </c>
      <c r="C260" s="24" t="str">
        <f t="shared" si="37"/>
        <v/>
      </c>
      <c r="D260" s="23" t="str">
        <f t="shared" si="38"/>
        <v/>
      </c>
      <c r="E260" s="25" t="str">
        <f t="shared" si="39"/>
        <v/>
      </c>
      <c r="F260" s="25" t="str">
        <f>IF($E260="","",ROUND(MIN(Comparison!$B$5,MAX(0,$E260+$H260)),2))</f>
        <v/>
      </c>
      <c r="G260" s="25" t="str">
        <f>IF($E260="","",ROUND(MIN(Inputs!$B$10,MAX(0,$E260+$H260-$F260)),2))</f>
        <v/>
      </c>
      <c r="H260" s="25" t="str">
        <f>IF($E260="","",ROUND(IF(Inputs!$B$12="Daily Simple Interest",$E260*Inputs!$B$6/Inputs!$B$17*$D260,$E260*Inputs!$B$6/Inputs!$B$18),2))</f>
        <v/>
      </c>
      <c r="I260" s="25" t="str">
        <f t="shared" si="31"/>
        <v/>
      </c>
      <c r="J260" s="25" t="str">
        <f>IF($E260="","",IF($F260+$G260&gt;0,Inputs!$B$11,0))</f>
        <v/>
      </c>
      <c r="K260" s="25" t="str">
        <f t="shared" si="32"/>
        <v/>
      </c>
      <c r="L260" s="25" t="str">
        <f t="shared" si="33"/>
        <v/>
      </c>
      <c r="M260" s="25" t="str">
        <f t="shared" si="34"/>
        <v/>
      </c>
      <c r="N260" s="84" t="str">
        <f t="shared" si="35"/>
        <v/>
      </c>
      <c r="O260" s="23" t="str">
        <f t="shared" si="36"/>
        <v/>
      </c>
    </row>
    <row r="261" spans="1:15" ht="20" customHeight="1">
      <c r="A261" s="22" t="str">
        <f t="shared" si="30"/>
        <v/>
      </c>
      <c r="B261" s="23" t="str">
        <f>IF($E261="","",255)</f>
        <v/>
      </c>
      <c r="C261" s="24" t="str">
        <f t="shared" si="37"/>
        <v/>
      </c>
      <c r="D261" s="23" t="str">
        <f t="shared" si="38"/>
        <v/>
      </c>
      <c r="E261" s="25" t="str">
        <f t="shared" si="39"/>
        <v/>
      </c>
      <c r="F261" s="25" t="str">
        <f>IF($E261="","",ROUND(MIN(Comparison!$B$5,MAX(0,$E261+$H261)),2))</f>
        <v/>
      </c>
      <c r="G261" s="25" t="str">
        <f>IF($E261="","",ROUND(MIN(Inputs!$B$10,MAX(0,$E261+$H261-$F261)),2))</f>
        <v/>
      </c>
      <c r="H261" s="25" t="str">
        <f>IF($E261="","",ROUND(IF(Inputs!$B$12="Daily Simple Interest",$E261*Inputs!$B$6/Inputs!$B$17*$D261,$E261*Inputs!$B$6/Inputs!$B$18),2))</f>
        <v/>
      </c>
      <c r="I261" s="25" t="str">
        <f t="shared" si="31"/>
        <v/>
      </c>
      <c r="J261" s="25" t="str">
        <f>IF($E261="","",IF($F261+$G261&gt;0,Inputs!$B$11,0))</f>
        <v/>
      </c>
      <c r="K261" s="25" t="str">
        <f t="shared" si="32"/>
        <v/>
      </c>
      <c r="L261" s="25" t="str">
        <f t="shared" si="33"/>
        <v/>
      </c>
      <c r="M261" s="25" t="str">
        <f t="shared" si="34"/>
        <v/>
      </c>
      <c r="N261" s="84" t="str">
        <f t="shared" si="35"/>
        <v/>
      </c>
      <c r="O261" s="23" t="str">
        <f t="shared" si="36"/>
        <v/>
      </c>
    </row>
    <row r="262" spans="1:15" ht="20" customHeight="1">
      <c r="A262" s="22" t="str">
        <f t="shared" si="30"/>
        <v/>
      </c>
      <c r="B262" s="23" t="str">
        <f>IF($E262="","",256)</f>
        <v/>
      </c>
      <c r="C262" s="24" t="str">
        <f t="shared" si="37"/>
        <v/>
      </c>
      <c r="D262" s="23" t="str">
        <f t="shared" si="38"/>
        <v/>
      </c>
      <c r="E262" s="25" t="str">
        <f t="shared" si="39"/>
        <v/>
      </c>
      <c r="F262" s="25" t="str">
        <f>IF($E262="","",ROUND(MIN(Comparison!$B$5,MAX(0,$E262+$H262)),2))</f>
        <v/>
      </c>
      <c r="G262" s="25" t="str">
        <f>IF($E262="","",ROUND(MIN(Inputs!$B$10,MAX(0,$E262+$H262-$F262)),2))</f>
        <v/>
      </c>
      <c r="H262" s="25" t="str">
        <f>IF($E262="","",ROUND(IF(Inputs!$B$12="Daily Simple Interest",$E262*Inputs!$B$6/Inputs!$B$17*$D262,$E262*Inputs!$B$6/Inputs!$B$18),2))</f>
        <v/>
      </c>
      <c r="I262" s="25" t="str">
        <f t="shared" si="31"/>
        <v/>
      </c>
      <c r="J262" s="25" t="str">
        <f>IF($E262="","",IF($F262+$G262&gt;0,Inputs!$B$11,0))</f>
        <v/>
      </c>
      <c r="K262" s="25" t="str">
        <f t="shared" si="32"/>
        <v/>
      </c>
      <c r="L262" s="25" t="str">
        <f t="shared" si="33"/>
        <v/>
      </c>
      <c r="M262" s="25" t="str">
        <f t="shared" si="34"/>
        <v/>
      </c>
      <c r="N262" s="84" t="str">
        <f t="shared" si="35"/>
        <v/>
      </c>
      <c r="O262" s="23" t="str">
        <f t="shared" si="36"/>
        <v/>
      </c>
    </row>
    <row r="263" spans="1:15" ht="20" customHeight="1">
      <c r="A263" s="22" t="str">
        <f t="shared" ref="A263:A326" si="40">IF($E263="","","Monthly")</f>
        <v/>
      </c>
      <c r="B263" s="23" t="str">
        <f>IF($E263="","",257)</f>
        <v/>
      </c>
      <c r="C263" s="24" t="str">
        <f t="shared" si="37"/>
        <v/>
      </c>
      <c r="D263" s="23" t="str">
        <f t="shared" si="38"/>
        <v/>
      </c>
      <c r="E263" s="25" t="str">
        <f t="shared" si="39"/>
        <v/>
      </c>
      <c r="F263" s="25" t="str">
        <f>IF($E263="","",ROUND(MIN(Comparison!$B$5,MAX(0,$E263+$H263)),2))</f>
        <v/>
      </c>
      <c r="G263" s="25" t="str">
        <f>IF($E263="","",ROUND(MIN(Inputs!$B$10,MAX(0,$E263+$H263-$F263)),2))</f>
        <v/>
      </c>
      <c r="H263" s="25" t="str">
        <f>IF($E263="","",ROUND(IF(Inputs!$B$12="Daily Simple Interest",$E263*Inputs!$B$6/Inputs!$B$17*$D263,$E263*Inputs!$B$6/Inputs!$B$18),2))</f>
        <v/>
      </c>
      <c r="I263" s="25" t="str">
        <f t="shared" ref="I263:I326" si="41">IF($E263="","",ROUND($F263+$G263-$H263,2))</f>
        <v/>
      </c>
      <c r="J263" s="25" t="str">
        <f>IF($E263="","",IF($F263+$G263&gt;0,Inputs!$B$11,0))</f>
        <v/>
      </c>
      <c r="K263" s="25" t="str">
        <f t="shared" ref="K263:K326" si="42">IF($E263="","",ROUND(MAX(0,$E263-$I263),2))</f>
        <v/>
      </c>
      <c r="L263" s="25" t="str">
        <f t="shared" ref="L263:L326" si="43">IF($E263="","",$F263+$G263)</f>
        <v/>
      </c>
      <c r="M263" s="25" t="str">
        <f t="shared" ref="M263:M326" si="44">IF($E263="","",0)</f>
        <v/>
      </c>
      <c r="N263" s="84" t="str">
        <f t="shared" ref="N263:N326" si="45">IF($E263="","",IF($K263&lt;=0.005,"PAID OFF","ACTIVE"))</f>
        <v/>
      </c>
      <c r="O263" s="23" t="str">
        <f t="shared" ref="O263:O326" si="46">IF($E263="","",IF($F263+$G263&gt;0,1,0))</f>
        <v/>
      </c>
    </row>
    <row r="264" spans="1:15" ht="20" customHeight="1">
      <c r="A264" s="22" t="str">
        <f t="shared" si="40"/>
        <v/>
      </c>
      <c r="B264" s="23" t="str">
        <f>IF($E264="","",258)</f>
        <v/>
      </c>
      <c r="C264" s="24" t="str">
        <f t="shared" ref="C264:C327" si="47">IF($E264="","",EDATE($C263,1))</f>
        <v/>
      </c>
      <c r="D264" s="23" t="str">
        <f t="shared" ref="D264:D327" si="48">IF($E264="","",$C264-$C263)</f>
        <v/>
      </c>
      <c r="E264" s="25" t="str">
        <f t="shared" ref="E264:E327" si="49">IF($K263&gt;0.005,$K263,"")</f>
        <v/>
      </c>
      <c r="F264" s="25" t="str">
        <f>IF($E264="","",ROUND(MIN(Comparison!$B$5,MAX(0,$E264+$H264)),2))</f>
        <v/>
      </c>
      <c r="G264" s="25" t="str">
        <f>IF($E264="","",ROUND(MIN(Inputs!$B$10,MAX(0,$E264+$H264-$F264)),2))</f>
        <v/>
      </c>
      <c r="H264" s="25" t="str">
        <f>IF($E264="","",ROUND(IF(Inputs!$B$12="Daily Simple Interest",$E264*Inputs!$B$6/Inputs!$B$17*$D264,$E264*Inputs!$B$6/Inputs!$B$18),2))</f>
        <v/>
      </c>
      <c r="I264" s="25" t="str">
        <f t="shared" si="41"/>
        <v/>
      </c>
      <c r="J264" s="25" t="str">
        <f>IF($E264="","",IF($F264+$G264&gt;0,Inputs!$B$11,0))</f>
        <v/>
      </c>
      <c r="K264" s="25" t="str">
        <f t="shared" si="42"/>
        <v/>
      </c>
      <c r="L264" s="25" t="str">
        <f t="shared" si="43"/>
        <v/>
      </c>
      <c r="M264" s="25" t="str">
        <f t="shared" si="44"/>
        <v/>
      </c>
      <c r="N264" s="84" t="str">
        <f t="shared" si="45"/>
        <v/>
      </c>
      <c r="O264" s="23" t="str">
        <f t="shared" si="46"/>
        <v/>
      </c>
    </row>
    <row r="265" spans="1:15" ht="20" customHeight="1">
      <c r="A265" s="22" t="str">
        <f t="shared" si="40"/>
        <v/>
      </c>
      <c r="B265" s="23" t="str">
        <f>IF($E265="","",259)</f>
        <v/>
      </c>
      <c r="C265" s="24" t="str">
        <f t="shared" si="47"/>
        <v/>
      </c>
      <c r="D265" s="23" t="str">
        <f t="shared" si="48"/>
        <v/>
      </c>
      <c r="E265" s="25" t="str">
        <f t="shared" si="49"/>
        <v/>
      </c>
      <c r="F265" s="25" t="str">
        <f>IF($E265="","",ROUND(MIN(Comparison!$B$5,MAX(0,$E265+$H265)),2))</f>
        <v/>
      </c>
      <c r="G265" s="25" t="str">
        <f>IF($E265="","",ROUND(MIN(Inputs!$B$10,MAX(0,$E265+$H265-$F265)),2))</f>
        <v/>
      </c>
      <c r="H265" s="25" t="str">
        <f>IF($E265="","",ROUND(IF(Inputs!$B$12="Daily Simple Interest",$E265*Inputs!$B$6/Inputs!$B$17*$D265,$E265*Inputs!$B$6/Inputs!$B$18),2))</f>
        <v/>
      </c>
      <c r="I265" s="25" t="str">
        <f t="shared" si="41"/>
        <v/>
      </c>
      <c r="J265" s="25" t="str">
        <f>IF($E265="","",IF($F265+$G265&gt;0,Inputs!$B$11,0))</f>
        <v/>
      </c>
      <c r="K265" s="25" t="str">
        <f t="shared" si="42"/>
        <v/>
      </c>
      <c r="L265" s="25" t="str">
        <f t="shared" si="43"/>
        <v/>
      </c>
      <c r="M265" s="25" t="str">
        <f t="shared" si="44"/>
        <v/>
      </c>
      <c r="N265" s="84" t="str">
        <f t="shared" si="45"/>
        <v/>
      </c>
      <c r="O265" s="23" t="str">
        <f t="shared" si="46"/>
        <v/>
      </c>
    </row>
    <row r="266" spans="1:15" ht="20" customHeight="1">
      <c r="A266" s="22" t="str">
        <f t="shared" si="40"/>
        <v/>
      </c>
      <c r="B266" s="23" t="str">
        <f>IF($E266="","",260)</f>
        <v/>
      </c>
      <c r="C266" s="24" t="str">
        <f t="shared" si="47"/>
        <v/>
      </c>
      <c r="D266" s="23" t="str">
        <f t="shared" si="48"/>
        <v/>
      </c>
      <c r="E266" s="25" t="str">
        <f t="shared" si="49"/>
        <v/>
      </c>
      <c r="F266" s="25" t="str">
        <f>IF($E266="","",ROUND(MIN(Comparison!$B$5,MAX(0,$E266+$H266)),2))</f>
        <v/>
      </c>
      <c r="G266" s="25" t="str">
        <f>IF($E266="","",ROUND(MIN(Inputs!$B$10,MAX(0,$E266+$H266-$F266)),2))</f>
        <v/>
      </c>
      <c r="H266" s="25" t="str">
        <f>IF($E266="","",ROUND(IF(Inputs!$B$12="Daily Simple Interest",$E266*Inputs!$B$6/Inputs!$B$17*$D266,$E266*Inputs!$B$6/Inputs!$B$18),2))</f>
        <v/>
      </c>
      <c r="I266" s="25" t="str">
        <f t="shared" si="41"/>
        <v/>
      </c>
      <c r="J266" s="25" t="str">
        <f>IF($E266="","",IF($F266+$G266&gt;0,Inputs!$B$11,0))</f>
        <v/>
      </c>
      <c r="K266" s="25" t="str">
        <f t="shared" si="42"/>
        <v/>
      </c>
      <c r="L266" s="25" t="str">
        <f t="shared" si="43"/>
        <v/>
      </c>
      <c r="M266" s="25" t="str">
        <f t="shared" si="44"/>
        <v/>
      </c>
      <c r="N266" s="84" t="str">
        <f t="shared" si="45"/>
        <v/>
      </c>
      <c r="O266" s="23" t="str">
        <f t="shared" si="46"/>
        <v/>
      </c>
    </row>
    <row r="267" spans="1:15" ht="20" customHeight="1">
      <c r="A267" s="22" t="str">
        <f t="shared" si="40"/>
        <v/>
      </c>
      <c r="B267" s="23" t="str">
        <f>IF($E267="","",261)</f>
        <v/>
      </c>
      <c r="C267" s="24" t="str">
        <f t="shared" si="47"/>
        <v/>
      </c>
      <c r="D267" s="23" t="str">
        <f t="shared" si="48"/>
        <v/>
      </c>
      <c r="E267" s="25" t="str">
        <f t="shared" si="49"/>
        <v/>
      </c>
      <c r="F267" s="25" t="str">
        <f>IF($E267="","",ROUND(MIN(Comparison!$B$5,MAX(0,$E267+$H267)),2))</f>
        <v/>
      </c>
      <c r="G267" s="25" t="str">
        <f>IF($E267="","",ROUND(MIN(Inputs!$B$10,MAX(0,$E267+$H267-$F267)),2))</f>
        <v/>
      </c>
      <c r="H267" s="25" t="str">
        <f>IF($E267="","",ROUND(IF(Inputs!$B$12="Daily Simple Interest",$E267*Inputs!$B$6/Inputs!$B$17*$D267,$E267*Inputs!$B$6/Inputs!$B$18),2))</f>
        <v/>
      </c>
      <c r="I267" s="25" t="str">
        <f t="shared" si="41"/>
        <v/>
      </c>
      <c r="J267" s="25" t="str">
        <f>IF($E267="","",IF($F267+$G267&gt;0,Inputs!$B$11,0))</f>
        <v/>
      </c>
      <c r="K267" s="25" t="str">
        <f t="shared" si="42"/>
        <v/>
      </c>
      <c r="L267" s="25" t="str">
        <f t="shared" si="43"/>
        <v/>
      </c>
      <c r="M267" s="25" t="str">
        <f t="shared" si="44"/>
        <v/>
      </c>
      <c r="N267" s="84" t="str">
        <f t="shared" si="45"/>
        <v/>
      </c>
      <c r="O267" s="23" t="str">
        <f t="shared" si="46"/>
        <v/>
      </c>
    </row>
    <row r="268" spans="1:15" ht="20" customHeight="1">
      <c r="A268" s="22" t="str">
        <f t="shared" si="40"/>
        <v/>
      </c>
      <c r="B268" s="23" t="str">
        <f>IF($E268="","",262)</f>
        <v/>
      </c>
      <c r="C268" s="24" t="str">
        <f t="shared" si="47"/>
        <v/>
      </c>
      <c r="D268" s="23" t="str">
        <f t="shared" si="48"/>
        <v/>
      </c>
      <c r="E268" s="25" t="str">
        <f t="shared" si="49"/>
        <v/>
      </c>
      <c r="F268" s="25" t="str">
        <f>IF($E268="","",ROUND(MIN(Comparison!$B$5,MAX(0,$E268+$H268)),2))</f>
        <v/>
      </c>
      <c r="G268" s="25" t="str">
        <f>IF($E268="","",ROUND(MIN(Inputs!$B$10,MAX(0,$E268+$H268-$F268)),2))</f>
        <v/>
      </c>
      <c r="H268" s="25" t="str">
        <f>IF($E268="","",ROUND(IF(Inputs!$B$12="Daily Simple Interest",$E268*Inputs!$B$6/Inputs!$B$17*$D268,$E268*Inputs!$B$6/Inputs!$B$18),2))</f>
        <v/>
      </c>
      <c r="I268" s="25" t="str">
        <f t="shared" si="41"/>
        <v/>
      </c>
      <c r="J268" s="25" t="str">
        <f>IF($E268="","",IF($F268+$G268&gt;0,Inputs!$B$11,0))</f>
        <v/>
      </c>
      <c r="K268" s="25" t="str">
        <f t="shared" si="42"/>
        <v/>
      </c>
      <c r="L268" s="25" t="str">
        <f t="shared" si="43"/>
        <v/>
      </c>
      <c r="M268" s="25" t="str">
        <f t="shared" si="44"/>
        <v/>
      </c>
      <c r="N268" s="84" t="str">
        <f t="shared" si="45"/>
        <v/>
      </c>
      <c r="O268" s="23" t="str">
        <f t="shared" si="46"/>
        <v/>
      </c>
    </row>
    <row r="269" spans="1:15" ht="20" customHeight="1">
      <c r="A269" s="22" t="str">
        <f t="shared" si="40"/>
        <v/>
      </c>
      <c r="B269" s="23" t="str">
        <f>IF($E269="","",263)</f>
        <v/>
      </c>
      <c r="C269" s="24" t="str">
        <f t="shared" si="47"/>
        <v/>
      </c>
      <c r="D269" s="23" t="str">
        <f t="shared" si="48"/>
        <v/>
      </c>
      <c r="E269" s="25" t="str">
        <f t="shared" si="49"/>
        <v/>
      </c>
      <c r="F269" s="25" t="str">
        <f>IF($E269="","",ROUND(MIN(Comparison!$B$5,MAX(0,$E269+$H269)),2))</f>
        <v/>
      </c>
      <c r="G269" s="25" t="str">
        <f>IF($E269="","",ROUND(MIN(Inputs!$B$10,MAX(0,$E269+$H269-$F269)),2))</f>
        <v/>
      </c>
      <c r="H269" s="25" t="str">
        <f>IF($E269="","",ROUND(IF(Inputs!$B$12="Daily Simple Interest",$E269*Inputs!$B$6/Inputs!$B$17*$D269,$E269*Inputs!$B$6/Inputs!$B$18),2))</f>
        <v/>
      </c>
      <c r="I269" s="25" t="str">
        <f t="shared" si="41"/>
        <v/>
      </c>
      <c r="J269" s="25" t="str">
        <f>IF($E269="","",IF($F269+$G269&gt;0,Inputs!$B$11,0))</f>
        <v/>
      </c>
      <c r="K269" s="25" t="str">
        <f t="shared" si="42"/>
        <v/>
      </c>
      <c r="L269" s="25" t="str">
        <f t="shared" si="43"/>
        <v/>
      </c>
      <c r="M269" s="25" t="str">
        <f t="shared" si="44"/>
        <v/>
      </c>
      <c r="N269" s="84" t="str">
        <f t="shared" si="45"/>
        <v/>
      </c>
      <c r="O269" s="23" t="str">
        <f t="shared" si="46"/>
        <v/>
      </c>
    </row>
    <row r="270" spans="1:15" ht="20" customHeight="1">
      <c r="A270" s="22" t="str">
        <f t="shared" si="40"/>
        <v/>
      </c>
      <c r="B270" s="23" t="str">
        <f>IF($E270="","",264)</f>
        <v/>
      </c>
      <c r="C270" s="24" t="str">
        <f t="shared" si="47"/>
        <v/>
      </c>
      <c r="D270" s="23" t="str">
        <f t="shared" si="48"/>
        <v/>
      </c>
      <c r="E270" s="25" t="str">
        <f t="shared" si="49"/>
        <v/>
      </c>
      <c r="F270" s="25" t="str">
        <f>IF($E270="","",ROUND(MIN(Comparison!$B$5,MAX(0,$E270+$H270)),2))</f>
        <v/>
      </c>
      <c r="G270" s="25" t="str">
        <f>IF($E270="","",ROUND(MIN(Inputs!$B$10,MAX(0,$E270+$H270-$F270)),2))</f>
        <v/>
      </c>
      <c r="H270" s="25" t="str">
        <f>IF($E270="","",ROUND(IF(Inputs!$B$12="Daily Simple Interest",$E270*Inputs!$B$6/Inputs!$B$17*$D270,$E270*Inputs!$B$6/Inputs!$B$18),2))</f>
        <v/>
      </c>
      <c r="I270" s="25" t="str">
        <f t="shared" si="41"/>
        <v/>
      </c>
      <c r="J270" s="25" t="str">
        <f>IF($E270="","",IF($F270+$G270&gt;0,Inputs!$B$11,0))</f>
        <v/>
      </c>
      <c r="K270" s="25" t="str">
        <f t="shared" si="42"/>
        <v/>
      </c>
      <c r="L270" s="25" t="str">
        <f t="shared" si="43"/>
        <v/>
      </c>
      <c r="M270" s="25" t="str">
        <f t="shared" si="44"/>
        <v/>
      </c>
      <c r="N270" s="84" t="str">
        <f t="shared" si="45"/>
        <v/>
      </c>
      <c r="O270" s="23" t="str">
        <f t="shared" si="46"/>
        <v/>
      </c>
    </row>
    <row r="271" spans="1:15" ht="20" customHeight="1">
      <c r="A271" s="22" t="str">
        <f t="shared" si="40"/>
        <v/>
      </c>
      <c r="B271" s="23" t="str">
        <f>IF($E271="","",265)</f>
        <v/>
      </c>
      <c r="C271" s="24" t="str">
        <f t="shared" si="47"/>
        <v/>
      </c>
      <c r="D271" s="23" t="str">
        <f t="shared" si="48"/>
        <v/>
      </c>
      <c r="E271" s="25" t="str">
        <f t="shared" si="49"/>
        <v/>
      </c>
      <c r="F271" s="25" t="str">
        <f>IF($E271="","",ROUND(MIN(Comparison!$B$5,MAX(0,$E271+$H271)),2))</f>
        <v/>
      </c>
      <c r="G271" s="25" t="str">
        <f>IF($E271="","",ROUND(MIN(Inputs!$B$10,MAX(0,$E271+$H271-$F271)),2))</f>
        <v/>
      </c>
      <c r="H271" s="25" t="str">
        <f>IF($E271="","",ROUND(IF(Inputs!$B$12="Daily Simple Interest",$E271*Inputs!$B$6/Inputs!$B$17*$D271,$E271*Inputs!$B$6/Inputs!$B$18),2))</f>
        <v/>
      </c>
      <c r="I271" s="25" t="str">
        <f t="shared" si="41"/>
        <v/>
      </c>
      <c r="J271" s="25" t="str">
        <f>IF($E271="","",IF($F271+$G271&gt;0,Inputs!$B$11,0))</f>
        <v/>
      </c>
      <c r="K271" s="25" t="str">
        <f t="shared" si="42"/>
        <v/>
      </c>
      <c r="L271" s="25" t="str">
        <f t="shared" si="43"/>
        <v/>
      </c>
      <c r="M271" s="25" t="str">
        <f t="shared" si="44"/>
        <v/>
      </c>
      <c r="N271" s="84" t="str">
        <f t="shared" si="45"/>
        <v/>
      </c>
      <c r="O271" s="23" t="str">
        <f t="shared" si="46"/>
        <v/>
      </c>
    </row>
    <row r="272" spans="1:15" ht="20" customHeight="1">
      <c r="A272" s="22" t="str">
        <f t="shared" si="40"/>
        <v/>
      </c>
      <c r="B272" s="23" t="str">
        <f>IF($E272="","",266)</f>
        <v/>
      </c>
      <c r="C272" s="24" t="str">
        <f t="shared" si="47"/>
        <v/>
      </c>
      <c r="D272" s="23" t="str">
        <f t="shared" si="48"/>
        <v/>
      </c>
      <c r="E272" s="25" t="str">
        <f t="shared" si="49"/>
        <v/>
      </c>
      <c r="F272" s="25" t="str">
        <f>IF($E272="","",ROUND(MIN(Comparison!$B$5,MAX(0,$E272+$H272)),2))</f>
        <v/>
      </c>
      <c r="G272" s="25" t="str">
        <f>IF($E272="","",ROUND(MIN(Inputs!$B$10,MAX(0,$E272+$H272-$F272)),2))</f>
        <v/>
      </c>
      <c r="H272" s="25" t="str">
        <f>IF($E272="","",ROUND(IF(Inputs!$B$12="Daily Simple Interest",$E272*Inputs!$B$6/Inputs!$B$17*$D272,$E272*Inputs!$B$6/Inputs!$B$18),2))</f>
        <v/>
      </c>
      <c r="I272" s="25" t="str">
        <f t="shared" si="41"/>
        <v/>
      </c>
      <c r="J272" s="25" t="str">
        <f>IF($E272="","",IF($F272+$G272&gt;0,Inputs!$B$11,0))</f>
        <v/>
      </c>
      <c r="K272" s="25" t="str">
        <f t="shared" si="42"/>
        <v/>
      </c>
      <c r="L272" s="25" t="str">
        <f t="shared" si="43"/>
        <v/>
      </c>
      <c r="M272" s="25" t="str">
        <f t="shared" si="44"/>
        <v/>
      </c>
      <c r="N272" s="84" t="str">
        <f t="shared" si="45"/>
        <v/>
      </c>
      <c r="O272" s="23" t="str">
        <f t="shared" si="46"/>
        <v/>
      </c>
    </row>
    <row r="273" spans="1:15" ht="20" customHeight="1">
      <c r="A273" s="22" t="str">
        <f t="shared" si="40"/>
        <v/>
      </c>
      <c r="B273" s="23" t="str">
        <f>IF($E273="","",267)</f>
        <v/>
      </c>
      <c r="C273" s="24" t="str">
        <f t="shared" si="47"/>
        <v/>
      </c>
      <c r="D273" s="23" t="str">
        <f t="shared" si="48"/>
        <v/>
      </c>
      <c r="E273" s="25" t="str">
        <f t="shared" si="49"/>
        <v/>
      </c>
      <c r="F273" s="25" t="str">
        <f>IF($E273="","",ROUND(MIN(Comparison!$B$5,MAX(0,$E273+$H273)),2))</f>
        <v/>
      </c>
      <c r="G273" s="25" t="str">
        <f>IF($E273="","",ROUND(MIN(Inputs!$B$10,MAX(0,$E273+$H273-$F273)),2))</f>
        <v/>
      </c>
      <c r="H273" s="25" t="str">
        <f>IF($E273="","",ROUND(IF(Inputs!$B$12="Daily Simple Interest",$E273*Inputs!$B$6/Inputs!$B$17*$D273,$E273*Inputs!$B$6/Inputs!$B$18),2))</f>
        <v/>
      </c>
      <c r="I273" s="25" t="str">
        <f t="shared" si="41"/>
        <v/>
      </c>
      <c r="J273" s="25" t="str">
        <f>IF($E273="","",IF($F273+$G273&gt;0,Inputs!$B$11,0))</f>
        <v/>
      </c>
      <c r="K273" s="25" t="str">
        <f t="shared" si="42"/>
        <v/>
      </c>
      <c r="L273" s="25" t="str">
        <f t="shared" si="43"/>
        <v/>
      </c>
      <c r="M273" s="25" t="str">
        <f t="shared" si="44"/>
        <v/>
      </c>
      <c r="N273" s="84" t="str">
        <f t="shared" si="45"/>
        <v/>
      </c>
      <c r="O273" s="23" t="str">
        <f t="shared" si="46"/>
        <v/>
      </c>
    </row>
    <row r="274" spans="1:15" ht="20" customHeight="1">
      <c r="A274" s="22" t="str">
        <f t="shared" si="40"/>
        <v/>
      </c>
      <c r="B274" s="23" t="str">
        <f>IF($E274="","",268)</f>
        <v/>
      </c>
      <c r="C274" s="24" t="str">
        <f t="shared" si="47"/>
        <v/>
      </c>
      <c r="D274" s="23" t="str">
        <f t="shared" si="48"/>
        <v/>
      </c>
      <c r="E274" s="25" t="str">
        <f t="shared" si="49"/>
        <v/>
      </c>
      <c r="F274" s="25" t="str">
        <f>IF($E274="","",ROUND(MIN(Comparison!$B$5,MAX(0,$E274+$H274)),2))</f>
        <v/>
      </c>
      <c r="G274" s="25" t="str">
        <f>IF($E274="","",ROUND(MIN(Inputs!$B$10,MAX(0,$E274+$H274-$F274)),2))</f>
        <v/>
      </c>
      <c r="H274" s="25" t="str">
        <f>IF($E274="","",ROUND(IF(Inputs!$B$12="Daily Simple Interest",$E274*Inputs!$B$6/Inputs!$B$17*$D274,$E274*Inputs!$B$6/Inputs!$B$18),2))</f>
        <v/>
      </c>
      <c r="I274" s="25" t="str">
        <f t="shared" si="41"/>
        <v/>
      </c>
      <c r="J274" s="25" t="str">
        <f>IF($E274="","",IF($F274+$G274&gt;0,Inputs!$B$11,0))</f>
        <v/>
      </c>
      <c r="K274" s="25" t="str">
        <f t="shared" si="42"/>
        <v/>
      </c>
      <c r="L274" s="25" t="str">
        <f t="shared" si="43"/>
        <v/>
      </c>
      <c r="M274" s="25" t="str">
        <f t="shared" si="44"/>
        <v/>
      </c>
      <c r="N274" s="84" t="str">
        <f t="shared" si="45"/>
        <v/>
      </c>
      <c r="O274" s="23" t="str">
        <f t="shared" si="46"/>
        <v/>
      </c>
    </row>
    <row r="275" spans="1:15" ht="20" customHeight="1">
      <c r="A275" s="22" t="str">
        <f t="shared" si="40"/>
        <v/>
      </c>
      <c r="B275" s="23" t="str">
        <f>IF($E275="","",269)</f>
        <v/>
      </c>
      <c r="C275" s="24" t="str">
        <f t="shared" si="47"/>
        <v/>
      </c>
      <c r="D275" s="23" t="str">
        <f t="shared" si="48"/>
        <v/>
      </c>
      <c r="E275" s="25" t="str">
        <f t="shared" si="49"/>
        <v/>
      </c>
      <c r="F275" s="25" t="str">
        <f>IF($E275="","",ROUND(MIN(Comparison!$B$5,MAX(0,$E275+$H275)),2))</f>
        <v/>
      </c>
      <c r="G275" s="25" t="str">
        <f>IF($E275="","",ROUND(MIN(Inputs!$B$10,MAX(0,$E275+$H275-$F275)),2))</f>
        <v/>
      </c>
      <c r="H275" s="25" t="str">
        <f>IF($E275="","",ROUND(IF(Inputs!$B$12="Daily Simple Interest",$E275*Inputs!$B$6/Inputs!$B$17*$D275,$E275*Inputs!$B$6/Inputs!$B$18),2))</f>
        <v/>
      </c>
      <c r="I275" s="25" t="str">
        <f t="shared" si="41"/>
        <v/>
      </c>
      <c r="J275" s="25" t="str">
        <f>IF($E275="","",IF($F275+$G275&gt;0,Inputs!$B$11,0))</f>
        <v/>
      </c>
      <c r="K275" s="25" t="str">
        <f t="shared" si="42"/>
        <v/>
      </c>
      <c r="L275" s="25" t="str">
        <f t="shared" si="43"/>
        <v/>
      </c>
      <c r="M275" s="25" t="str">
        <f t="shared" si="44"/>
        <v/>
      </c>
      <c r="N275" s="84" t="str">
        <f t="shared" si="45"/>
        <v/>
      </c>
      <c r="O275" s="23" t="str">
        <f t="shared" si="46"/>
        <v/>
      </c>
    </row>
    <row r="276" spans="1:15" ht="20" customHeight="1">
      <c r="A276" s="22" t="str">
        <f t="shared" si="40"/>
        <v/>
      </c>
      <c r="B276" s="23" t="str">
        <f>IF($E276="","",270)</f>
        <v/>
      </c>
      <c r="C276" s="24" t="str">
        <f t="shared" si="47"/>
        <v/>
      </c>
      <c r="D276" s="23" t="str">
        <f t="shared" si="48"/>
        <v/>
      </c>
      <c r="E276" s="25" t="str">
        <f t="shared" si="49"/>
        <v/>
      </c>
      <c r="F276" s="25" t="str">
        <f>IF($E276="","",ROUND(MIN(Comparison!$B$5,MAX(0,$E276+$H276)),2))</f>
        <v/>
      </c>
      <c r="G276" s="25" t="str">
        <f>IF($E276="","",ROUND(MIN(Inputs!$B$10,MAX(0,$E276+$H276-$F276)),2))</f>
        <v/>
      </c>
      <c r="H276" s="25" t="str">
        <f>IF($E276="","",ROUND(IF(Inputs!$B$12="Daily Simple Interest",$E276*Inputs!$B$6/Inputs!$B$17*$D276,$E276*Inputs!$B$6/Inputs!$B$18),2))</f>
        <v/>
      </c>
      <c r="I276" s="25" t="str">
        <f t="shared" si="41"/>
        <v/>
      </c>
      <c r="J276" s="25" t="str">
        <f>IF($E276="","",IF($F276+$G276&gt;0,Inputs!$B$11,0))</f>
        <v/>
      </c>
      <c r="K276" s="25" t="str">
        <f t="shared" si="42"/>
        <v/>
      </c>
      <c r="L276" s="25" t="str">
        <f t="shared" si="43"/>
        <v/>
      </c>
      <c r="M276" s="25" t="str">
        <f t="shared" si="44"/>
        <v/>
      </c>
      <c r="N276" s="84" t="str">
        <f t="shared" si="45"/>
        <v/>
      </c>
      <c r="O276" s="23" t="str">
        <f t="shared" si="46"/>
        <v/>
      </c>
    </row>
    <row r="277" spans="1:15" ht="20" customHeight="1">
      <c r="A277" s="22" t="str">
        <f t="shared" si="40"/>
        <v/>
      </c>
      <c r="B277" s="23" t="str">
        <f>IF($E277="","",271)</f>
        <v/>
      </c>
      <c r="C277" s="24" t="str">
        <f t="shared" si="47"/>
        <v/>
      </c>
      <c r="D277" s="23" t="str">
        <f t="shared" si="48"/>
        <v/>
      </c>
      <c r="E277" s="25" t="str">
        <f t="shared" si="49"/>
        <v/>
      </c>
      <c r="F277" s="25" t="str">
        <f>IF($E277="","",ROUND(MIN(Comparison!$B$5,MAX(0,$E277+$H277)),2))</f>
        <v/>
      </c>
      <c r="G277" s="25" t="str">
        <f>IF($E277="","",ROUND(MIN(Inputs!$B$10,MAX(0,$E277+$H277-$F277)),2))</f>
        <v/>
      </c>
      <c r="H277" s="25" t="str">
        <f>IF($E277="","",ROUND(IF(Inputs!$B$12="Daily Simple Interest",$E277*Inputs!$B$6/Inputs!$B$17*$D277,$E277*Inputs!$B$6/Inputs!$B$18),2))</f>
        <v/>
      </c>
      <c r="I277" s="25" t="str">
        <f t="shared" si="41"/>
        <v/>
      </c>
      <c r="J277" s="25" t="str">
        <f>IF($E277="","",IF($F277+$G277&gt;0,Inputs!$B$11,0))</f>
        <v/>
      </c>
      <c r="K277" s="25" t="str">
        <f t="shared" si="42"/>
        <v/>
      </c>
      <c r="L277" s="25" t="str">
        <f t="shared" si="43"/>
        <v/>
      </c>
      <c r="M277" s="25" t="str">
        <f t="shared" si="44"/>
        <v/>
      </c>
      <c r="N277" s="84" t="str">
        <f t="shared" si="45"/>
        <v/>
      </c>
      <c r="O277" s="23" t="str">
        <f t="shared" si="46"/>
        <v/>
      </c>
    </row>
    <row r="278" spans="1:15" ht="20" customHeight="1">
      <c r="A278" s="22" t="str">
        <f t="shared" si="40"/>
        <v/>
      </c>
      <c r="B278" s="23" t="str">
        <f>IF($E278="","",272)</f>
        <v/>
      </c>
      <c r="C278" s="24" t="str">
        <f t="shared" si="47"/>
        <v/>
      </c>
      <c r="D278" s="23" t="str">
        <f t="shared" si="48"/>
        <v/>
      </c>
      <c r="E278" s="25" t="str">
        <f t="shared" si="49"/>
        <v/>
      </c>
      <c r="F278" s="25" t="str">
        <f>IF($E278="","",ROUND(MIN(Comparison!$B$5,MAX(0,$E278+$H278)),2))</f>
        <v/>
      </c>
      <c r="G278" s="25" t="str">
        <f>IF($E278="","",ROUND(MIN(Inputs!$B$10,MAX(0,$E278+$H278-$F278)),2))</f>
        <v/>
      </c>
      <c r="H278" s="25" t="str">
        <f>IF($E278="","",ROUND(IF(Inputs!$B$12="Daily Simple Interest",$E278*Inputs!$B$6/Inputs!$B$17*$D278,$E278*Inputs!$B$6/Inputs!$B$18),2))</f>
        <v/>
      </c>
      <c r="I278" s="25" t="str">
        <f t="shared" si="41"/>
        <v/>
      </c>
      <c r="J278" s="25" t="str">
        <f>IF($E278="","",IF($F278+$G278&gt;0,Inputs!$B$11,0))</f>
        <v/>
      </c>
      <c r="K278" s="25" t="str">
        <f t="shared" si="42"/>
        <v/>
      </c>
      <c r="L278" s="25" t="str">
        <f t="shared" si="43"/>
        <v/>
      </c>
      <c r="M278" s="25" t="str">
        <f t="shared" si="44"/>
        <v/>
      </c>
      <c r="N278" s="84" t="str">
        <f t="shared" si="45"/>
        <v/>
      </c>
      <c r="O278" s="23" t="str">
        <f t="shared" si="46"/>
        <v/>
      </c>
    </row>
    <row r="279" spans="1:15" ht="20" customHeight="1">
      <c r="A279" s="22" t="str">
        <f t="shared" si="40"/>
        <v/>
      </c>
      <c r="B279" s="23" t="str">
        <f>IF($E279="","",273)</f>
        <v/>
      </c>
      <c r="C279" s="24" t="str">
        <f t="shared" si="47"/>
        <v/>
      </c>
      <c r="D279" s="23" t="str">
        <f t="shared" si="48"/>
        <v/>
      </c>
      <c r="E279" s="25" t="str">
        <f t="shared" si="49"/>
        <v/>
      </c>
      <c r="F279" s="25" t="str">
        <f>IF($E279="","",ROUND(MIN(Comparison!$B$5,MAX(0,$E279+$H279)),2))</f>
        <v/>
      </c>
      <c r="G279" s="25" t="str">
        <f>IF($E279="","",ROUND(MIN(Inputs!$B$10,MAX(0,$E279+$H279-$F279)),2))</f>
        <v/>
      </c>
      <c r="H279" s="25" t="str">
        <f>IF($E279="","",ROUND(IF(Inputs!$B$12="Daily Simple Interest",$E279*Inputs!$B$6/Inputs!$B$17*$D279,$E279*Inputs!$B$6/Inputs!$B$18),2))</f>
        <v/>
      </c>
      <c r="I279" s="25" t="str">
        <f t="shared" si="41"/>
        <v/>
      </c>
      <c r="J279" s="25" t="str">
        <f>IF($E279="","",IF($F279+$G279&gt;0,Inputs!$B$11,0))</f>
        <v/>
      </c>
      <c r="K279" s="25" t="str">
        <f t="shared" si="42"/>
        <v/>
      </c>
      <c r="L279" s="25" t="str">
        <f t="shared" si="43"/>
        <v/>
      </c>
      <c r="M279" s="25" t="str">
        <f t="shared" si="44"/>
        <v/>
      </c>
      <c r="N279" s="84" t="str">
        <f t="shared" si="45"/>
        <v/>
      </c>
      <c r="O279" s="23" t="str">
        <f t="shared" si="46"/>
        <v/>
      </c>
    </row>
    <row r="280" spans="1:15" ht="20" customHeight="1">
      <c r="A280" s="22" t="str">
        <f t="shared" si="40"/>
        <v/>
      </c>
      <c r="B280" s="23" t="str">
        <f>IF($E280="","",274)</f>
        <v/>
      </c>
      <c r="C280" s="24" t="str">
        <f t="shared" si="47"/>
        <v/>
      </c>
      <c r="D280" s="23" t="str">
        <f t="shared" si="48"/>
        <v/>
      </c>
      <c r="E280" s="25" t="str">
        <f t="shared" si="49"/>
        <v/>
      </c>
      <c r="F280" s="25" t="str">
        <f>IF($E280="","",ROUND(MIN(Comparison!$B$5,MAX(0,$E280+$H280)),2))</f>
        <v/>
      </c>
      <c r="G280" s="25" t="str">
        <f>IF($E280="","",ROUND(MIN(Inputs!$B$10,MAX(0,$E280+$H280-$F280)),2))</f>
        <v/>
      </c>
      <c r="H280" s="25" t="str">
        <f>IF($E280="","",ROUND(IF(Inputs!$B$12="Daily Simple Interest",$E280*Inputs!$B$6/Inputs!$B$17*$D280,$E280*Inputs!$B$6/Inputs!$B$18),2))</f>
        <v/>
      </c>
      <c r="I280" s="25" t="str">
        <f t="shared" si="41"/>
        <v/>
      </c>
      <c r="J280" s="25" t="str">
        <f>IF($E280="","",IF($F280+$G280&gt;0,Inputs!$B$11,0))</f>
        <v/>
      </c>
      <c r="K280" s="25" t="str">
        <f t="shared" si="42"/>
        <v/>
      </c>
      <c r="L280" s="25" t="str">
        <f t="shared" si="43"/>
        <v/>
      </c>
      <c r="M280" s="25" t="str">
        <f t="shared" si="44"/>
        <v/>
      </c>
      <c r="N280" s="84" t="str">
        <f t="shared" si="45"/>
        <v/>
      </c>
      <c r="O280" s="23" t="str">
        <f t="shared" si="46"/>
        <v/>
      </c>
    </row>
    <row r="281" spans="1:15" ht="20" customHeight="1">
      <c r="A281" s="22" t="str">
        <f t="shared" si="40"/>
        <v/>
      </c>
      <c r="B281" s="23" t="str">
        <f>IF($E281="","",275)</f>
        <v/>
      </c>
      <c r="C281" s="24" t="str">
        <f t="shared" si="47"/>
        <v/>
      </c>
      <c r="D281" s="23" t="str">
        <f t="shared" si="48"/>
        <v/>
      </c>
      <c r="E281" s="25" t="str">
        <f t="shared" si="49"/>
        <v/>
      </c>
      <c r="F281" s="25" t="str">
        <f>IF($E281="","",ROUND(MIN(Comparison!$B$5,MAX(0,$E281+$H281)),2))</f>
        <v/>
      </c>
      <c r="G281" s="25" t="str">
        <f>IF($E281="","",ROUND(MIN(Inputs!$B$10,MAX(0,$E281+$H281-$F281)),2))</f>
        <v/>
      </c>
      <c r="H281" s="25" t="str">
        <f>IF($E281="","",ROUND(IF(Inputs!$B$12="Daily Simple Interest",$E281*Inputs!$B$6/Inputs!$B$17*$D281,$E281*Inputs!$B$6/Inputs!$B$18),2))</f>
        <v/>
      </c>
      <c r="I281" s="25" t="str">
        <f t="shared" si="41"/>
        <v/>
      </c>
      <c r="J281" s="25" t="str">
        <f>IF($E281="","",IF($F281+$G281&gt;0,Inputs!$B$11,0))</f>
        <v/>
      </c>
      <c r="K281" s="25" t="str">
        <f t="shared" si="42"/>
        <v/>
      </c>
      <c r="L281" s="25" t="str">
        <f t="shared" si="43"/>
        <v/>
      </c>
      <c r="M281" s="25" t="str">
        <f t="shared" si="44"/>
        <v/>
      </c>
      <c r="N281" s="84" t="str">
        <f t="shared" si="45"/>
        <v/>
      </c>
      <c r="O281" s="23" t="str">
        <f t="shared" si="46"/>
        <v/>
      </c>
    </row>
    <row r="282" spans="1:15" ht="20" customHeight="1">
      <c r="A282" s="22" t="str">
        <f t="shared" si="40"/>
        <v/>
      </c>
      <c r="B282" s="23" t="str">
        <f>IF($E282="","",276)</f>
        <v/>
      </c>
      <c r="C282" s="24" t="str">
        <f t="shared" si="47"/>
        <v/>
      </c>
      <c r="D282" s="23" t="str">
        <f t="shared" si="48"/>
        <v/>
      </c>
      <c r="E282" s="25" t="str">
        <f t="shared" si="49"/>
        <v/>
      </c>
      <c r="F282" s="25" t="str">
        <f>IF($E282="","",ROUND(MIN(Comparison!$B$5,MAX(0,$E282+$H282)),2))</f>
        <v/>
      </c>
      <c r="G282" s="25" t="str">
        <f>IF($E282="","",ROUND(MIN(Inputs!$B$10,MAX(0,$E282+$H282-$F282)),2))</f>
        <v/>
      </c>
      <c r="H282" s="25" t="str">
        <f>IF($E282="","",ROUND(IF(Inputs!$B$12="Daily Simple Interest",$E282*Inputs!$B$6/Inputs!$B$17*$D282,$E282*Inputs!$B$6/Inputs!$B$18),2))</f>
        <v/>
      </c>
      <c r="I282" s="25" t="str">
        <f t="shared" si="41"/>
        <v/>
      </c>
      <c r="J282" s="25" t="str">
        <f>IF($E282="","",IF($F282+$G282&gt;0,Inputs!$B$11,0))</f>
        <v/>
      </c>
      <c r="K282" s="25" t="str">
        <f t="shared" si="42"/>
        <v/>
      </c>
      <c r="L282" s="25" t="str">
        <f t="shared" si="43"/>
        <v/>
      </c>
      <c r="M282" s="25" t="str">
        <f t="shared" si="44"/>
        <v/>
      </c>
      <c r="N282" s="84" t="str">
        <f t="shared" si="45"/>
        <v/>
      </c>
      <c r="O282" s="23" t="str">
        <f t="shared" si="46"/>
        <v/>
      </c>
    </row>
    <row r="283" spans="1:15" ht="20" customHeight="1">
      <c r="A283" s="22" t="str">
        <f t="shared" si="40"/>
        <v/>
      </c>
      <c r="B283" s="23" t="str">
        <f>IF($E283="","",277)</f>
        <v/>
      </c>
      <c r="C283" s="24" t="str">
        <f t="shared" si="47"/>
        <v/>
      </c>
      <c r="D283" s="23" t="str">
        <f t="shared" si="48"/>
        <v/>
      </c>
      <c r="E283" s="25" t="str">
        <f t="shared" si="49"/>
        <v/>
      </c>
      <c r="F283" s="25" t="str">
        <f>IF($E283="","",ROUND(MIN(Comparison!$B$5,MAX(0,$E283+$H283)),2))</f>
        <v/>
      </c>
      <c r="G283" s="25" t="str">
        <f>IF($E283="","",ROUND(MIN(Inputs!$B$10,MAX(0,$E283+$H283-$F283)),2))</f>
        <v/>
      </c>
      <c r="H283" s="25" t="str">
        <f>IF($E283="","",ROUND(IF(Inputs!$B$12="Daily Simple Interest",$E283*Inputs!$B$6/Inputs!$B$17*$D283,$E283*Inputs!$B$6/Inputs!$B$18),2))</f>
        <v/>
      </c>
      <c r="I283" s="25" t="str">
        <f t="shared" si="41"/>
        <v/>
      </c>
      <c r="J283" s="25" t="str">
        <f>IF($E283="","",IF($F283+$G283&gt;0,Inputs!$B$11,0))</f>
        <v/>
      </c>
      <c r="K283" s="25" t="str">
        <f t="shared" si="42"/>
        <v/>
      </c>
      <c r="L283" s="25" t="str">
        <f t="shared" si="43"/>
        <v/>
      </c>
      <c r="M283" s="25" t="str">
        <f t="shared" si="44"/>
        <v/>
      </c>
      <c r="N283" s="84" t="str">
        <f t="shared" si="45"/>
        <v/>
      </c>
      <c r="O283" s="23" t="str">
        <f t="shared" si="46"/>
        <v/>
      </c>
    </row>
    <row r="284" spans="1:15" ht="20" customHeight="1">
      <c r="A284" s="22" t="str">
        <f t="shared" si="40"/>
        <v/>
      </c>
      <c r="B284" s="23" t="str">
        <f>IF($E284="","",278)</f>
        <v/>
      </c>
      <c r="C284" s="24" t="str">
        <f t="shared" si="47"/>
        <v/>
      </c>
      <c r="D284" s="23" t="str">
        <f t="shared" si="48"/>
        <v/>
      </c>
      <c r="E284" s="25" t="str">
        <f t="shared" si="49"/>
        <v/>
      </c>
      <c r="F284" s="25" t="str">
        <f>IF($E284="","",ROUND(MIN(Comparison!$B$5,MAX(0,$E284+$H284)),2))</f>
        <v/>
      </c>
      <c r="G284" s="25" t="str">
        <f>IF($E284="","",ROUND(MIN(Inputs!$B$10,MAX(0,$E284+$H284-$F284)),2))</f>
        <v/>
      </c>
      <c r="H284" s="25" t="str">
        <f>IF($E284="","",ROUND(IF(Inputs!$B$12="Daily Simple Interest",$E284*Inputs!$B$6/Inputs!$B$17*$D284,$E284*Inputs!$B$6/Inputs!$B$18),2))</f>
        <v/>
      </c>
      <c r="I284" s="25" t="str">
        <f t="shared" si="41"/>
        <v/>
      </c>
      <c r="J284" s="25" t="str">
        <f>IF($E284="","",IF($F284+$G284&gt;0,Inputs!$B$11,0))</f>
        <v/>
      </c>
      <c r="K284" s="25" t="str">
        <f t="shared" si="42"/>
        <v/>
      </c>
      <c r="L284" s="25" t="str">
        <f t="shared" si="43"/>
        <v/>
      </c>
      <c r="M284" s="25" t="str">
        <f t="shared" si="44"/>
        <v/>
      </c>
      <c r="N284" s="84" t="str">
        <f t="shared" si="45"/>
        <v/>
      </c>
      <c r="O284" s="23" t="str">
        <f t="shared" si="46"/>
        <v/>
      </c>
    </row>
    <row r="285" spans="1:15" ht="20" customHeight="1">
      <c r="A285" s="22" t="str">
        <f t="shared" si="40"/>
        <v/>
      </c>
      <c r="B285" s="23" t="str">
        <f>IF($E285="","",279)</f>
        <v/>
      </c>
      <c r="C285" s="24" t="str">
        <f t="shared" si="47"/>
        <v/>
      </c>
      <c r="D285" s="23" t="str">
        <f t="shared" si="48"/>
        <v/>
      </c>
      <c r="E285" s="25" t="str">
        <f t="shared" si="49"/>
        <v/>
      </c>
      <c r="F285" s="25" t="str">
        <f>IF($E285="","",ROUND(MIN(Comparison!$B$5,MAX(0,$E285+$H285)),2))</f>
        <v/>
      </c>
      <c r="G285" s="25" t="str">
        <f>IF($E285="","",ROUND(MIN(Inputs!$B$10,MAX(0,$E285+$H285-$F285)),2))</f>
        <v/>
      </c>
      <c r="H285" s="25" t="str">
        <f>IF($E285="","",ROUND(IF(Inputs!$B$12="Daily Simple Interest",$E285*Inputs!$B$6/Inputs!$B$17*$D285,$E285*Inputs!$B$6/Inputs!$B$18),2))</f>
        <v/>
      </c>
      <c r="I285" s="25" t="str">
        <f t="shared" si="41"/>
        <v/>
      </c>
      <c r="J285" s="25" t="str">
        <f>IF($E285="","",IF($F285+$G285&gt;0,Inputs!$B$11,0))</f>
        <v/>
      </c>
      <c r="K285" s="25" t="str">
        <f t="shared" si="42"/>
        <v/>
      </c>
      <c r="L285" s="25" t="str">
        <f t="shared" si="43"/>
        <v/>
      </c>
      <c r="M285" s="25" t="str">
        <f t="shared" si="44"/>
        <v/>
      </c>
      <c r="N285" s="84" t="str">
        <f t="shared" si="45"/>
        <v/>
      </c>
      <c r="O285" s="23" t="str">
        <f t="shared" si="46"/>
        <v/>
      </c>
    </row>
    <row r="286" spans="1:15" ht="20" customHeight="1">
      <c r="A286" s="22" t="str">
        <f t="shared" si="40"/>
        <v/>
      </c>
      <c r="B286" s="23" t="str">
        <f>IF($E286="","",280)</f>
        <v/>
      </c>
      <c r="C286" s="24" t="str">
        <f t="shared" si="47"/>
        <v/>
      </c>
      <c r="D286" s="23" t="str">
        <f t="shared" si="48"/>
        <v/>
      </c>
      <c r="E286" s="25" t="str">
        <f t="shared" si="49"/>
        <v/>
      </c>
      <c r="F286" s="25" t="str">
        <f>IF($E286="","",ROUND(MIN(Comparison!$B$5,MAX(0,$E286+$H286)),2))</f>
        <v/>
      </c>
      <c r="G286" s="25" t="str">
        <f>IF($E286="","",ROUND(MIN(Inputs!$B$10,MAX(0,$E286+$H286-$F286)),2))</f>
        <v/>
      </c>
      <c r="H286" s="25" t="str">
        <f>IF($E286="","",ROUND(IF(Inputs!$B$12="Daily Simple Interest",$E286*Inputs!$B$6/Inputs!$B$17*$D286,$E286*Inputs!$B$6/Inputs!$B$18),2))</f>
        <v/>
      </c>
      <c r="I286" s="25" t="str">
        <f t="shared" si="41"/>
        <v/>
      </c>
      <c r="J286" s="25" t="str">
        <f>IF($E286="","",IF($F286+$G286&gt;0,Inputs!$B$11,0))</f>
        <v/>
      </c>
      <c r="K286" s="25" t="str">
        <f t="shared" si="42"/>
        <v/>
      </c>
      <c r="L286" s="25" t="str">
        <f t="shared" si="43"/>
        <v/>
      </c>
      <c r="M286" s="25" t="str">
        <f t="shared" si="44"/>
        <v/>
      </c>
      <c r="N286" s="84" t="str">
        <f t="shared" si="45"/>
        <v/>
      </c>
      <c r="O286" s="23" t="str">
        <f t="shared" si="46"/>
        <v/>
      </c>
    </row>
    <row r="287" spans="1:15" ht="20" customHeight="1">
      <c r="A287" s="22" t="str">
        <f t="shared" si="40"/>
        <v/>
      </c>
      <c r="B287" s="23" t="str">
        <f>IF($E287="","",281)</f>
        <v/>
      </c>
      <c r="C287" s="24" t="str">
        <f t="shared" si="47"/>
        <v/>
      </c>
      <c r="D287" s="23" t="str">
        <f t="shared" si="48"/>
        <v/>
      </c>
      <c r="E287" s="25" t="str">
        <f t="shared" si="49"/>
        <v/>
      </c>
      <c r="F287" s="25" t="str">
        <f>IF($E287="","",ROUND(MIN(Comparison!$B$5,MAX(0,$E287+$H287)),2))</f>
        <v/>
      </c>
      <c r="G287" s="25" t="str">
        <f>IF($E287="","",ROUND(MIN(Inputs!$B$10,MAX(0,$E287+$H287-$F287)),2))</f>
        <v/>
      </c>
      <c r="H287" s="25" t="str">
        <f>IF($E287="","",ROUND(IF(Inputs!$B$12="Daily Simple Interest",$E287*Inputs!$B$6/Inputs!$B$17*$D287,$E287*Inputs!$B$6/Inputs!$B$18),2))</f>
        <v/>
      </c>
      <c r="I287" s="25" t="str">
        <f t="shared" si="41"/>
        <v/>
      </c>
      <c r="J287" s="25" t="str">
        <f>IF($E287="","",IF($F287+$G287&gt;0,Inputs!$B$11,0))</f>
        <v/>
      </c>
      <c r="K287" s="25" t="str">
        <f t="shared" si="42"/>
        <v/>
      </c>
      <c r="L287" s="25" t="str">
        <f t="shared" si="43"/>
        <v/>
      </c>
      <c r="M287" s="25" t="str">
        <f t="shared" si="44"/>
        <v/>
      </c>
      <c r="N287" s="84" t="str">
        <f t="shared" si="45"/>
        <v/>
      </c>
      <c r="O287" s="23" t="str">
        <f t="shared" si="46"/>
        <v/>
      </c>
    </row>
    <row r="288" spans="1:15" ht="20" customHeight="1">
      <c r="A288" s="22" t="str">
        <f t="shared" si="40"/>
        <v/>
      </c>
      <c r="B288" s="23" t="str">
        <f>IF($E288="","",282)</f>
        <v/>
      </c>
      <c r="C288" s="24" t="str">
        <f t="shared" si="47"/>
        <v/>
      </c>
      <c r="D288" s="23" t="str">
        <f t="shared" si="48"/>
        <v/>
      </c>
      <c r="E288" s="25" t="str">
        <f t="shared" si="49"/>
        <v/>
      </c>
      <c r="F288" s="25" t="str">
        <f>IF($E288="","",ROUND(MIN(Comparison!$B$5,MAX(0,$E288+$H288)),2))</f>
        <v/>
      </c>
      <c r="G288" s="25" t="str">
        <f>IF($E288="","",ROUND(MIN(Inputs!$B$10,MAX(0,$E288+$H288-$F288)),2))</f>
        <v/>
      </c>
      <c r="H288" s="25" t="str">
        <f>IF($E288="","",ROUND(IF(Inputs!$B$12="Daily Simple Interest",$E288*Inputs!$B$6/Inputs!$B$17*$D288,$E288*Inputs!$B$6/Inputs!$B$18),2))</f>
        <v/>
      </c>
      <c r="I288" s="25" t="str">
        <f t="shared" si="41"/>
        <v/>
      </c>
      <c r="J288" s="25" t="str">
        <f>IF($E288="","",IF($F288+$G288&gt;0,Inputs!$B$11,0))</f>
        <v/>
      </c>
      <c r="K288" s="25" t="str">
        <f t="shared" si="42"/>
        <v/>
      </c>
      <c r="L288" s="25" t="str">
        <f t="shared" si="43"/>
        <v/>
      </c>
      <c r="M288" s="25" t="str">
        <f t="shared" si="44"/>
        <v/>
      </c>
      <c r="N288" s="84" t="str">
        <f t="shared" si="45"/>
        <v/>
      </c>
      <c r="O288" s="23" t="str">
        <f t="shared" si="46"/>
        <v/>
      </c>
    </row>
    <row r="289" spans="1:15" ht="20" customHeight="1">
      <c r="A289" s="22" t="str">
        <f t="shared" si="40"/>
        <v/>
      </c>
      <c r="B289" s="23" t="str">
        <f>IF($E289="","",283)</f>
        <v/>
      </c>
      <c r="C289" s="24" t="str">
        <f t="shared" si="47"/>
        <v/>
      </c>
      <c r="D289" s="23" t="str">
        <f t="shared" si="48"/>
        <v/>
      </c>
      <c r="E289" s="25" t="str">
        <f t="shared" si="49"/>
        <v/>
      </c>
      <c r="F289" s="25" t="str">
        <f>IF($E289="","",ROUND(MIN(Comparison!$B$5,MAX(0,$E289+$H289)),2))</f>
        <v/>
      </c>
      <c r="G289" s="25" t="str">
        <f>IF($E289="","",ROUND(MIN(Inputs!$B$10,MAX(0,$E289+$H289-$F289)),2))</f>
        <v/>
      </c>
      <c r="H289" s="25" t="str">
        <f>IF($E289="","",ROUND(IF(Inputs!$B$12="Daily Simple Interest",$E289*Inputs!$B$6/Inputs!$B$17*$D289,$E289*Inputs!$B$6/Inputs!$B$18),2))</f>
        <v/>
      </c>
      <c r="I289" s="25" t="str">
        <f t="shared" si="41"/>
        <v/>
      </c>
      <c r="J289" s="25" t="str">
        <f>IF($E289="","",IF($F289+$G289&gt;0,Inputs!$B$11,0))</f>
        <v/>
      </c>
      <c r="K289" s="25" t="str">
        <f t="shared" si="42"/>
        <v/>
      </c>
      <c r="L289" s="25" t="str">
        <f t="shared" si="43"/>
        <v/>
      </c>
      <c r="M289" s="25" t="str">
        <f t="shared" si="44"/>
        <v/>
      </c>
      <c r="N289" s="84" t="str">
        <f t="shared" si="45"/>
        <v/>
      </c>
      <c r="O289" s="23" t="str">
        <f t="shared" si="46"/>
        <v/>
      </c>
    </row>
    <row r="290" spans="1:15" ht="20" customHeight="1">
      <c r="A290" s="22" t="str">
        <f t="shared" si="40"/>
        <v/>
      </c>
      <c r="B290" s="23" t="str">
        <f>IF($E290="","",284)</f>
        <v/>
      </c>
      <c r="C290" s="24" t="str">
        <f t="shared" si="47"/>
        <v/>
      </c>
      <c r="D290" s="23" t="str">
        <f t="shared" si="48"/>
        <v/>
      </c>
      <c r="E290" s="25" t="str">
        <f t="shared" si="49"/>
        <v/>
      </c>
      <c r="F290" s="25" t="str">
        <f>IF($E290="","",ROUND(MIN(Comparison!$B$5,MAX(0,$E290+$H290)),2))</f>
        <v/>
      </c>
      <c r="G290" s="25" t="str">
        <f>IF($E290="","",ROUND(MIN(Inputs!$B$10,MAX(0,$E290+$H290-$F290)),2))</f>
        <v/>
      </c>
      <c r="H290" s="25" t="str">
        <f>IF($E290="","",ROUND(IF(Inputs!$B$12="Daily Simple Interest",$E290*Inputs!$B$6/Inputs!$B$17*$D290,$E290*Inputs!$B$6/Inputs!$B$18),2))</f>
        <v/>
      </c>
      <c r="I290" s="25" t="str">
        <f t="shared" si="41"/>
        <v/>
      </c>
      <c r="J290" s="25" t="str">
        <f>IF($E290="","",IF($F290+$G290&gt;0,Inputs!$B$11,0))</f>
        <v/>
      </c>
      <c r="K290" s="25" t="str">
        <f t="shared" si="42"/>
        <v/>
      </c>
      <c r="L290" s="25" t="str">
        <f t="shared" si="43"/>
        <v/>
      </c>
      <c r="M290" s="25" t="str">
        <f t="shared" si="44"/>
        <v/>
      </c>
      <c r="N290" s="84" t="str">
        <f t="shared" si="45"/>
        <v/>
      </c>
      <c r="O290" s="23" t="str">
        <f t="shared" si="46"/>
        <v/>
      </c>
    </row>
    <row r="291" spans="1:15" ht="20" customHeight="1">
      <c r="A291" s="22" t="str">
        <f t="shared" si="40"/>
        <v/>
      </c>
      <c r="B291" s="23" t="str">
        <f>IF($E291="","",285)</f>
        <v/>
      </c>
      <c r="C291" s="24" t="str">
        <f t="shared" si="47"/>
        <v/>
      </c>
      <c r="D291" s="23" t="str">
        <f t="shared" si="48"/>
        <v/>
      </c>
      <c r="E291" s="25" t="str">
        <f t="shared" si="49"/>
        <v/>
      </c>
      <c r="F291" s="25" t="str">
        <f>IF($E291="","",ROUND(MIN(Comparison!$B$5,MAX(0,$E291+$H291)),2))</f>
        <v/>
      </c>
      <c r="G291" s="25" t="str">
        <f>IF($E291="","",ROUND(MIN(Inputs!$B$10,MAX(0,$E291+$H291-$F291)),2))</f>
        <v/>
      </c>
      <c r="H291" s="25" t="str">
        <f>IF($E291="","",ROUND(IF(Inputs!$B$12="Daily Simple Interest",$E291*Inputs!$B$6/Inputs!$B$17*$D291,$E291*Inputs!$B$6/Inputs!$B$18),2))</f>
        <v/>
      </c>
      <c r="I291" s="25" t="str">
        <f t="shared" si="41"/>
        <v/>
      </c>
      <c r="J291" s="25" t="str">
        <f>IF($E291="","",IF($F291+$G291&gt;0,Inputs!$B$11,0))</f>
        <v/>
      </c>
      <c r="K291" s="25" t="str">
        <f t="shared" si="42"/>
        <v/>
      </c>
      <c r="L291" s="25" t="str">
        <f t="shared" si="43"/>
        <v/>
      </c>
      <c r="M291" s="25" t="str">
        <f t="shared" si="44"/>
        <v/>
      </c>
      <c r="N291" s="84" t="str">
        <f t="shared" si="45"/>
        <v/>
      </c>
      <c r="O291" s="23" t="str">
        <f t="shared" si="46"/>
        <v/>
      </c>
    </row>
    <row r="292" spans="1:15" ht="20" customHeight="1">
      <c r="A292" s="22" t="str">
        <f t="shared" si="40"/>
        <v/>
      </c>
      <c r="B292" s="23" t="str">
        <f>IF($E292="","",286)</f>
        <v/>
      </c>
      <c r="C292" s="24" t="str">
        <f t="shared" si="47"/>
        <v/>
      </c>
      <c r="D292" s="23" t="str">
        <f t="shared" si="48"/>
        <v/>
      </c>
      <c r="E292" s="25" t="str">
        <f t="shared" si="49"/>
        <v/>
      </c>
      <c r="F292" s="25" t="str">
        <f>IF($E292="","",ROUND(MIN(Comparison!$B$5,MAX(0,$E292+$H292)),2))</f>
        <v/>
      </c>
      <c r="G292" s="25" t="str">
        <f>IF($E292="","",ROUND(MIN(Inputs!$B$10,MAX(0,$E292+$H292-$F292)),2))</f>
        <v/>
      </c>
      <c r="H292" s="25" t="str">
        <f>IF($E292="","",ROUND(IF(Inputs!$B$12="Daily Simple Interest",$E292*Inputs!$B$6/Inputs!$B$17*$D292,$E292*Inputs!$B$6/Inputs!$B$18),2))</f>
        <v/>
      </c>
      <c r="I292" s="25" t="str">
        <f t="shared" si="41"/>
        <v/>
      </c>
      <c r="J292" s="25" t="str">
        <f>IF($E292="","",IF($F292+$G292&gt;0,Inputs!$B$11,0))</f>
        <v/>
      </c>
      <c r="K292" s="25" t="str">
        <f t="shared" si="42"/>
        <v/>
      </c>
      <c r="L292" s="25" t="str">
        <f t="shared" si="43"/>
        <v/>
      </c>
      <c r="M292" s="25" t="str">
        <f t="shared" si="44"/>
        <v/>
      </c>
      <c r="N292" s="84" t="str">
        <f t="shared" si="45"/>
        <v/>
      </c>
      <c r="O292" s="23" t="str">
        <f t="shared" si="46"/>
        <v/>
      </c>
    </row>
    <row r="293" spans="1:15" ht="20" customHeight="1">
      <c r="A293" s="22" t="str">
        <f t="shared" si="40"/>
        <v/>
      </c>
      <c r="B293" s="23" t="str">
        <f>IF($E293="","",287)</f>
        <v/>
      </c>
      <c r="C293" s="24" t="str">
        <f t="shared" si="47"/>
        <v/>
      </c>
      <c r="D293" s="23" t="str">
        <f t="shared" si="48"/>
        <v/>
      </c>
      <c r="E293" s="25" t="str">
        <f t="shared" si="49"/>
        <v/>
      </c>
      <c r="F293" s="25" t="str">
        <f>IF($E293="","",ROUND(MIN(Comparison!$B$5,MAX(0,$E293+$H293)),2))</f>
        <v/>
      </c>
      <c r="G293" s="25" t="str">
        <f>IF($E293="","",ROUND(MIN(Inputs!$B$10,MAX(0,$E293+$H293-$F293)),2))</f>
        <v/>
      </c>
      <c r="H293" s="25" t="str">
        <f>IF($E293="","",ROUND(IF(Inputs!$B$12="Daily Simple Interest",$E293*Inputs!$B$6/Inputs!$B$17*$D293,$E293*Inputs!$B$6/Inputs!$B$18),2))</f>
        <v/>
      </c>
      <c r="I293" s="25" t="str">
        <f t="shared" si="41"/>
        <v/>
      </c>
      <c r="J293" s="25" t="str">
        <f>IF($E293="","",IF($F293+$G293&gt;0,Inputs!$B$11,0))</f>
        <v/>
      </c>
      <c r="K293" s="25" t="str">
        <f t="shared" si="42"/>
        <v/>
      </c>
      <c r="L293" s="25" t="str">
        <f t="shared" si="43"/>
        <v/>
      </c>
      <c r="M293" s="25" t="str">
        <f t="shared" si="44"/>
        <v/>
      </c>
      <c r="N293" s="84" t="str">
        <f t="shared" si="45"/>
        <v/>
      </c>
      <c r="O293" s="23" t="str">
        <f t="shared" si="46"/>
        <v/>
      </c>
    </row>
    <row r="294" spans="1:15" ht="20" customHeight="1">
      <c r="A294" s="22" t="str">
        <f t="shared" si="40"/>
        <v/>
      </c>
      <c r="B294" s="23" t="str">
        <f>IF($E294="","",288)</f>
        <v/>
      </c>
      <c r="C294" s="24" t="str">
        <f t="shared" si="47"/>
        <v/>
      </c>
      <c r="D294" s="23" t="str">
        <f t="shared" si="48"/>
        <v/>
      </c>
      <c r="E294" s="25" t="str">
        <f t="shared" si="49"/>
        <v/>
      </c>
      <c r="F294" s="25" t="str">
        <f>IF($E294="","",ROUND(MIN(Comparison!$B$5,MAX(0,$E294+$H294)),2))</f>
        <v/>
      </c>
      <c r="G294" s="25" t="str">
        <f>IF($E294="","",ROUND(MIN(Inputs!$B$10,MAX(0,$E294+$H294-$F294)),2))</f>
        <v/>
      </c>
      <c r="H294" s="25" t="str">
        <f>IF($E294="","",ROUND(IF(Inputs!$B$12="Daily Simple Interest",$E294*Inputs!$B$6/Inputs!$B$17*$D294,$E294*Inputs!$B$6/Inputs!$B$18),2))</f>
        <v/>
      </c>
      <c r="I294" s="25" t="str">
        <f t="shared" si="41"/>
        <v/>
      </c>
      <c r="J294" s="25" t="str">
        <f>IF($E294="","",IF($F294+$G294&gt;0,Inputs!$B$11,0))</f>
        <v/>
      </c>
      <c r="K294" s="25" t="str">
        <f t="shared" si="42"/>
        <v/>
      </c>
      <c r="L294" s="25" t="str">
        <f t="shared" si="43"/>
        <v/>
      </c>
      <c r="M294" s="25" t="str">
        <f t="shared" si="44"/>
        <v/>
      </c>
      <c r="N294" s="84" t="str">
        <f t="shared" si="45"/>
        <v/>
      </c>
      <c r="O294" s="23" t="str">
        <f t="shared" si="46"/>
        <v/>
      </c>
    </row>
    <row r="295" spans="1:15" ht="20" customHeight="1">
      <c r="A295" s="22" t="str">
        <f t="shared" si="40"/>
        <v/>
      </c>
      <c r="B295" s="23" t="str">
        <f>IF($E295="","",289)</f>
        <v/>
      </c>
      <c r="C295" s="24" t="str">
        <f t="shared" si="47"/>
        <v/>
      </c>
      <c r="D295" s="23" t="str">
        <f t="shared" si="48"/>
        <v/>
      </c>
      <c r="E295" s="25" t="str">
        <f t="shared" si="49"/>
        <v/>
      </c>
      <c r="F295" s="25" t="str">
        <f>IF($E295="","",ROUND(MIN(Comparison!$B$5,MAX(0,$E295+$H295)),2))</f>
        <v/>
      </c>
      <c r="G295" s="25" t="str">
        <f>IF($E295="","",ROUND(MIN(Inputs!$B$10,MAX(0,$E295+$H295-$F295)),2))</f>
        <v/>
      </c>
      <c r="H295" s="25" t="str">
        <f>IF($E295="","",ROUND(IF(Inputs!$B$12="Daily Simple Interest",$E295*Inputs!$B$6/Inputs!$B$17*$D295,$E295*Inputs!$B$6/Inputs!$B$18),2))</f>
        <v/>
      </c>
      <c r="I295" s="25" t="str">
        <f t="shared" si="41"/>
        <v/>
      </c>
      <c r="J295" s="25" t="str">
        <f>IF($E295="","",IF($F295+$G295&gt;0,Inputs!$B$11,0))</f>
        <v/>
      </c>
      <c r="K295" s="25" t="str">
        <f t="shared" si="42"/>
        <v/>
      </c>
      <c r="L295" s="25" t="str">
        <f t="shared" si="43"/>
        <v/>
      </c>
      <c r="M295" s="25" t="str">
        <f t="shared" si="44"/>
        <v/>
      </c>
      <c r="N295" s="84" t="str">
        <f t="shared" si="45"/>
        <v/>
      </c>
      <c r="O295" s="23" t="str">
        <f t="shared" si="46"/>
        <v/>
      </c>
    </row>
    <row r="296" spans="1:15" ht="20" customHeight="1">
      <c r="A296" s="22" t="str">
        <f t="shared" si="40"/>
        <v/>
      </c>
      <c r="B296" s="23" t="str">
        <f>IF($E296="","",290)</f>
        <v/>
      </c>
      <c r="C296" s="24" t="str">
        <f t="shared" si="47"/>
        <v/>
      </c>
      <c r="D296" s="23" t="str">
        <f t="shared" si="48"/>
        <v/>
      </c>
      <c r="E296" s="25" t="str">
        <f t="shared" si="49"/>
        <v/>
      </c>
      <c r="F296" s="25" t="str">
        <f>IF($E296="","",ROUND(MIN(Comparison!$B$5,MAX(0,$E296+$H296)),2))</f>
        <v/>
      </c>
      <c r="G296" s="25" t="str">
        <f>IF($E296="","",ROUND(MIN(Inputs!$B$10,MAX(0,$E296+$H296-$F296)),2))</f>
        <v/>
      </c>
      <c r="H296" s="25" t="str">
        <f>IF($E296="","",ROUND(IF(Inputs!$B$12="Daily Simple Interest",$E296*Inputs!$B$6/Inputs!$B$17*$D296,$E296*Inputs!$B$6/Inputs!$B$18),2))</f>
        <v/>
      </c>
      <c r="I296" s="25" t="str">
        <f t="shared" si="41"/>
        <v/>
      </c>
      <c r="J296" s="25" t="str">
        <f>IF($E296="","",IF($F296+$G296&gt;0,Inputs!$B$11,0))</f>
        <v/>
      </c>
      <c r="K296" s="25" t="str">
        <f t="shared" si="42"/>
        <v/>
      </c>
      <c r="L296" s="25" t="str">
        <f t="shared" si="43"/>
        <v/>
      </c>
      <c r="M296" s="25" t="str">
        <f t="shared" si="44"/>
        <v/>
      </c>
      <c r="N296" s="84" t="str">
        <f t="shared" si="45"/>
        <v/>
      </c>
      <c r="O296" s="23" t="str">
        <f t="shared" si="46"/>
        <v/>
      </c>
    </row>
    <row r="297" spans="1:15" ht="20" customHeight="1">
      <c r="A297" s="22" t="str">
        <f t="shared" si="40"/>
        <v/>
      </c>
      <c r="B297" s="23" t="str">
        <f>IF($E297="","",291)</f>
        <v/>
      </c>
      <c r="C297" s="24" t="str">
        <f t="shared" si="47"/>
        <v/>
      </c>
      <c r="D297" s="23" t="str">
        <f t="shared" si="48"/>
        <v/>
      </c>
      <c r="E297" s="25" t="str">
        <f t="shared" si="49"/>
        <v/>
      </c>
      <c r="F297" s="25" t="str">
        <f>IF($E297="","",ROUND(MIN(Comparison!$B$5,MAX(0,$E297+$H297)),2))</f>
        <v/>
      </c>
      <c r="G297" s="25" t="str">
        <f>IF($E297="","",ROUND(MIN(Inputs!$B$10,MAX(0,$E297+$H297-$F297)),2))</f>
        <v/>
      </c>
      <c r="H297" s="25" t="str">
        <f>IF($E297="","",ROUND(IF(Inputs!$B$12="Daily Simple Interest",$E297*Inputs!$B$6/Inputs!$B$17*$D297,$E297*Inputs!$B$6/Inputs!$B$18),2))</f>
        <v/>
      </c>
      <c r="I297" s="25" t="str">
        <f t="shared" si="41"/>
        <v/>
      </c>
      <c r="J297" s="25" t="str">
        <f>IF($E297="","",IF($F297+$G297&gt;0,Inputs!$B$11,0))</f>
        <v/>
      </c>
      <c r="K297" s="25" t="str">
        <f t="shared" si="42"/>
        <v/>
      </c>
      <c r="L297" s="25" t="str">
        <f t="shared" si="43"/>
        <v/>
      </c>
      <c r="M297" s="25" t="str">
        <f t="shared" si="44"/>
        <v/>
      </c>
      <c r="N297" s="84" t="str">
        <f t="shared" si="45"/>
        <v/>
      </c>
      <c r="O297" s="23" t="str">
        <f t="shared" si="46"/>
        <v/>
      </c>
    </row>
    <row r="298" spans="1:15" ht="20" customHeight="1">
      <c r="A298" s="22" t="str">
        <f t="shared" si="40"/>
        <v/>
      </c>
      <c r="B298" s="23" t="str">
        <f>IF($E298="","",292)</f>
        <v/>
      </c>
      <c r="C298" s="24" t="str">
        <f t="shared" si="47"/>
        <v/>
      </c>
      <c r="D298" s="23" t="str">
        <f t="shared" si="48"/>
        <v/>
      </c>
      <c r="E298" s="25" t="str">
        <f t="shared" si="49"/>
        <v/>
      </c>
      <c r="F298" s="25" t="str">
        <f>IF($E298="","",ROUND(MIN(Comparison!$B$5,MAX(0,$E298+$H298)),2))</f>
        <v/>
      </c>
      <c r="G298" s="25" t="str">
        <f>IF($E298="","",ROUND(MIN(Inputs!$B$10,MAX(0,$E298+$H298-$F298)),2))</f>
        <v/>
      </c>
      <c r="H298" s="25" t="str">
        <f>IF($E298="","",ROUND(IF(Inputs!$B$12="Daily Simple Interest",$E298*Inputs!$B$6/Inputs!$B$17*$D298,$E298*Inputs!$B$6/Inputs!$B$18),2))</f>
        <v/>
      </c>
      <c r="I298" s="25" t="str">
        <f t="shared" si="41"/>
        <v/>
      </c>
      <c r="J298" s="25" t="str">
        <f>IF($E298="","",IF($F298+$G298&gt;0,Inputs!$B$11,0))</f>
        <v/>
      </c>
      <c r="K298" s="25" t="str">
        <f t="shared" si="42"/>
        <v/>
      </c>
      <c r="L298" s="25" t="str">
        <f t="shared" si="43"/>
        <v/>
      </c>
      <c r="M298" s="25" t="str">
        <f t="shared" si="44"/>
        <v/>
      </c>
      <c r="N298" s="84" t="str">
        <f t="shared" si="45"/>
        <v/>
      </c>
      <c r="O298" s="23" t="str">
        <f t="shared" si="46"/>
        <v/>
      </c>
    </row>
    <row r="299" spans="1:15" ht="20" customHeight="1">
      <c r="A299" s="22" t="str">
        <f t="shared" si="40"/>
        <v/>
      </c>
      <c r="B299" s="23" t="str">
        <f>IF($E299="","",293)</f>
        <v/>
      </c>
      <c r="C299" s="24" t="str">
        <f t="shared" si="47"/>
        <v/>
      </c>
      <c r="D299" s="23" t="str">
        <f t="shared" si="48"/>
        <v/>
      </c>
      <c r="E299" s="25" t="str">
        <f t="shared" si="49"/>
        <v/>
      </c>
      <c r="F299" s="25" t="str">
        <f>IF($E299="","",ROUND(MIN(Comparison!$B$5,MAX(0,$E299+$H299)),2))</f>
        <v/>
      </c>
      <c r="G299" s="25" t="str">
        <f>IF($E299="","",ROUND(MIN(Inputs!$B$10,MAX(0,$E299+$H299-$F299)),2))</f>
        <v/>
      </c>
      <c r="H299" s="25" t="str">
        <f>IF($E299="","",ROUND(IF(Inputs!$B$12="Daily Simple Interest",$E299*Inputs!$B$6/Inputs!$B$17*$D299,$E299*Inputs!$B$6/Inputs!$B$18),2))</f>
        <v/>
      </c>
      <c r="I299" s="25" t="str">
        <f t="shared" si="41"/>
        <v/>
      </c>
      <c r="J299" s="25" t="str">
        <f>IF($E299="","",IF($F299+$G299&gt;0,Inputs!$B$11,0))</f>
        <v/>
      </c>
      <c r="K299" s="25" t="str">
        <f t="shared" si="42"/>
        <v/>
      </c>
      <c r="L299" s="25" t="str">
        <f t="shared" si="43"/>
        <v/>
      </c>
      <c r="M299" s="25" t="str">
        <f t="shared" si="44"/>
        <v/>
      </c>
      <c r="N299" s="84" t="str">
        <f t="shared" si="45"/>
        <v/>
      </c>
      <c r="O299" s="23" t="str">
        <f t="shared" si="46"/>
        <v/>
      </c>
    </row>
    <row r="300" spans="1:15" ht="20" customHeight="1">
      <c r="A300" s="22" t="str">
        <f t="shared" si="40"/>
        <v/>
      </c>
      <c r="B300" s="23" t="str">
        <f>IF($E300="","",294)</f>
        <v/>
      </c>
      <c r="C300" s="24" t="str">
        <f t="shared" si="47"/>
        <v/>
      </c>
      <c r="D300" s="23" t="str">
        <f t="shared" si="48"/>
        <v/>
      </c>
      <c r="E300" s="25" t="str">
        <f t="shared" si="49"/>
        <v/>
      </c>
      <c r="F300" s="25" t="str">
        <f>IF($E300="","",ROUND(MIN(Comparison!$B$5,MAX(0,$E300+$H300)),2))</f>
        <v/>
      </c>
      <c r="G300" s="25" t="str">
        <f>IF($E300="","",ROUND(MIN(Inputs!$B$10,MAX(0,$E300+$H300-$F300)),2))</f>
        <v/>
      </c>
      <c r="H300" s="25" t="str">
        <f>IF($E300="","",ROUND(IF(Inputs!$B$12="Daily Simple Interest",$E300*Inputs!$B$6/Inputs!$B$17*$D300,$E300*Inputs!$B$6/Inputs!$B$18),2))</f>
        <v/>
      </c>
      <c r="I300" s="25" t="str">
        <f t="shared" si="41"/>
        <v/>
      </c>
      <c r="J300" s="25" t="str">
        <f>IF($E300="","",IF($F300+$G300&gt;0,Inputs!$B$11,0))</f>
        <v/>
      </c>
      <c r="K300" s="25" t="str">
        <f t="shared" si="42"/>
        <v/>
      </c>
      <c r="L300" s="25" t="str">
        <f t="shared" si="43"/>
        <v/>
      </c>
      <c r="M300" s="25" t="str">
        <f t="shared" si="44"/>
        <v/>
      </c>
      <c r="N300" s="84" t="str">
        <f t="shared" si="45"/>
        <v/>
      </c>
      <c r="O300" s="23" t="str">
        <f t="shared" si="46"/>
        <v/>
      </c>
    </row>
    <row r="301" spans="1:15" ht="20" customHeight="1">
      <c r="A301" s="22" t="str">
        <f t="shared" si="40"/>
        <v/>
      </c>
      <c r="B301" s="23" t="str">
        <f>IF($E301="","",295)</f>
        <v/>
      </c>
      <c r="C301" s="24" t="str">
        <f t="shared" si="47"/>
        <v/>
      </c>
      <c r="D301" s="23" t="str">
        <f t="shared" si="48"/>
        <v/>
      </c>
      <c r="E301" s="25" t="str">
        <f t="shared" si="49"/>
        <v/>
      </c>
      <c r="F301" s="25" t="str">
        <f>IF($E301="","",ROUND(MIN(Comparison!$B$5,MAX(0,$E301+$H301)),2))</f>
        <v/>
      </c>
      <c r="G301" s="25" t="str">
        <f>IF($E301="","",ROUND(MIN(Inputs!$B$10,MAX(0,$E301+$H301-$F301)),2))</f>
        <v/>
      </c>
      <c r="H301" s="25" t="str">
        <f>IF($E301="","",ROUND(IF(Inputs!$B$12="Daily Simple Interest",$E301*Inputs!$B$6/Inputs!$B$17*$D301,$E301*Inputs!$B$6/Inputs!$B$18),2))</f>
        <v/>
      </c>
      <c r="I301" s="25" t="str">
        <f t="shared" si="41"/>
        <v/>
      </c>
      <c r="J301" s="25" t="str">
        <f>IF($E301="","",IF($F301+$G301&gt;0,Inputs!$B$11,0))</f>
        <v/>
      </c>
      <c r="K301" s="25" t="str">
        <f t="shared" si="42"/>
        <v/>
      </c>
      <c r="L301" s="25" t="str">
        <f t="shared" si="43"/>
        <v/>
      </c>
      <c r="M301" s="25" t="str">
        <f t="shared" si="44"/>
        <v/>
      </c>
      <c r="N301" s="84" t="str">
        <f t="shared" si="45"/>
        <v/>
      </c>
      <c r="O301" s="23" t="str">
        <f t="shared" si="46"/>
        <v/>
      </c>
    </row>
    <row r="302" spans="1:15" ht="20" customHeight="1">
      <c r="A302" s="22" t="str">
        <f t="shared" si="40"/>
        <v/>
      </c>
      <c r="B302" s="23" t="str">
        <f>IF($E302="","",296)</f>
        <v/>
      </c>
      <c r="C302" s="24" t="str">
        <f t="shared" si="47"/>
        <v/>
      </c>
      <c r="D302" s="23" t="str">
        <f t="shared" si="48"/>
        <v/>
      </c>
      <c r="E302" s="25" t="str">
        <f t="shared" si="49"/>
        <v/>
      </c>
      <c r="F302" s="25" t="str">
        <f>IF($E302="","",ROUND(MIN(Comparison!$B$5,MAX(0,$E302+$H302)),2))</f>
        <v/>
      </c>
      <c r="G302" s="25" t="str">
        <f>IF($E302="","",ROUND(MIN(Inputs!$B$10,MAX(0,$E302+$H302-$F302)),2))</f>
        <v/>
      </c>
      <c r="H302" s="25" t="str">
        <f>IF($E302="","",ROUND(IF(Inputs!$B$12="Daily Simple Interest",$E302*Inputs!$B$6/Inputs!$B$17*$D302,$E302*Inputs!$B$6/Inputs!$B$18),2))</f>
        <v/>
      </c>
      <c r="I302" s="25" t="str">
        <f t="shared" si="41"/>
        <v/>
      </c>
      <c r="J302" s="25" t="str">
        <f>IF($E302="","",IF($F302+$G302&gt;0,Inputs!$B$11,0))</f>
        <v/>
      </c>
      <c r="K302" s="25" t="str">
        <f t="shared" si="42"/>
        <v/>
      </c>
      <c r="L302" s="25" t="str">
        <f t="shared" si="43"/>
        <v/>
      </c>
      <c r="M302" s="25" t="str">
        <f t="shared" si="44"/>
        <v/>
      </c>
      <c r="N302" s="84" t="str">
        <f t="shared" si="45"/>
        <v/>
      </c>
      <c r="O302" s="23" t="str">
        <f t="shared" si="46"/>
        <v/>
      </c>
    </row>
    <row r="303" spans="1:15" ht="20" customHeight="1">
      <c r="A303" s="22" t="str">
        <f t="shared" si="40"/>
        <v/>
      </c>
      <c r="B303" s="23" t="str">
        <f>IF($E303="","",297)</f>
        <v/>
      </c>
      <c r="C303" s="24" t="str">
        <f t="shared" si="47"/>
        <v/>
      </c>
      <c r="D303" s="23" t="str">
        <f t="shared" si="48"/>
        <v/>
      </c>
      <c r="E303" s="25" t="str">
        <f t="shared" si="49"/>
        <v/>
      </c>
      <c r="F303" s="25" t="str">
        <f>IF($E303="","",ROUND(MIN(Comparison!$B$5,MAX(0,$E303+$H303)),2))</f>
        <v/>
      </c>
      <c r="G303" s="25" t="str">
        <f>IF($E303="","",ROUND(MIN(Inputs!$B$10,MAX(0,$E303+$H303-$F303)),2))</f>
        <v/>
      </c>
      <c r="H303" s="25" t="str">
        <f>IF($E303="","",ROUND(IF(Inputs!$B$12="Daily Simple Interest",$E303*Inputs!$B$6/Inputs!$B$17*$D303,$E303*Inputs!$B$6/Inputs!$B$18),2))</f>
        <v/>
      </c>
      <c r="I303" s="25" t="str">
        <f t="shared" si="41"/>
        <v/>
      </c>
      <c r="J303" s="25" t="str">
        <f>IF($E303="","",IF($F303+$G303&gt;0,Inputs!$B$11,0))</f>
        <v/>
      </c>
      <c r="K303" s="25" t="str">
        <f t="shared" si="42"/>
        <v/>
      </c>
      <c r="L303" s="25" t="str">
        <f t="shared" si="43"/>
        <v/>
      </c>
      <c r="M303" s="25" t="str">
        <f t="shared" si="44"/>
        <v/>
      </c>
      <c r="N303" s="84" t="str">
        <f t="shared" si="45"/>
        <v/>
      </c>
      <c r="O303" s="23" t="str">
        <f t="shared" si="46"/>
        <v/>
      </c>
    </row>
    <row r="304" spans="1:15" ht="20" customHeight="1">
      <c r="A304" s="22" t="str">
        <f t="shared" si="40"/>
        <v/>
      </c>
      <c r="B304" s="23" t="str">
        <f>IF($E304="","",298)</f>
        <v/>
      </c>
      <c r="C304" s="24" t="str">
        <f t="shared" si="47"/>
        <v/>
      </c>
      <c r="D304" s="23" t="str">
        <f t="shared" si="48"/>
        <v/>
      </c>
      <c r="E304" s="25" t="str">
        <f t="shared" si="49"/>
        <v/>
      </c>
      <c r="F304" s="25" t="str">
        <f>IF($E304="","",ROUND(MIN(Comparison!$B$5,MAX(0,$E304+$H304)),2))</f>
        <v/>
      </c>
      <c r="G304" s="25" t="str">
        <f>IF($E304="","",ROUND(MIN(Inputs!$B$10,MAX(0,$E304+$H304-$F304)),2))</f>
        <v/>
      </c>
      <c r="H304" s="25" t="str">
        <f>IF($E304="","",ROUND(IF(Inputs!$B$12="Daily Simple Interest",$E304*Inputs!$B$6/Inputs!$B$17*$D304,$E304*Inputs!$B$6/Inputs!$B$18),2))</f>
        <v/>
      </c>
      <c r="I304" s="25" t="str">
        <f t="shared" si="41"/>
        <v/>
      </c>
      <c r="J304" s="25" t="str">
        <f>IF($E304="","",IF($F304+$G304&gt;0,Inputs!$B$11,0))</f>
        <v/>
      </c>
      <c r="K304" s="25" t="str">
        <f t="shared" si="42"/>
        <v/>
      </c>
      <c r="L304" s="25" t="str">
        <f t="shared" si="43"/>
        <v/>
      </c>
      <c r="M304" s="25" t="str">
        <f t="shared" si="44"/>
        <v/>
      </c>
      <c r="N304" s="84" t="str">
        <f t="shared" si="45"/>
        <v/>
      </c>
      <c r="O304" s="23" t="str">
        <f t="shared" si="46"/>
        <v/>
      </c>
    </row>
    <row r="305" spans="1:15" ht="20" customHeight="1">
      <c r="A305" s="22" t="str">
        <f t="shared" si="40"/>
        <v/>
      </c>
      <c r="B305" s="23" t="str">
        <f>IF($E305="","",299)</f>
        <v/>
      </c>
      <c r="C305" s="24" t="str">
        <f t="shared" si="47"/>
        <v/>
      </c>
      <c r="D305" s="23" t="str">
        <f t="shared" si="48"/>
        <v/>
      </c>
      <c r="E305" s="25" t="str">
        <f t="shared" si="49"/>
        <v/>
      </c>
      <c r="F305" s="25" t="str">
        <f>IF($E305="","",ROUND(MIN(Comparison!$B$5,MAX(0,$E305+$H305)),2))</f>
        <v/>
      </c>
      <c r="G305" s="25" t="str">
        <f>IF($E305="","",ROUND(MIN(Inputs!$B$10,MAX(0,$E305+$H305-$F305)),2))</f>
        <v/>
      </c>
      <c r="H305" s="25" t="str">
        <f>IF($E305="","",ROUND(IF(Inputs!$B$12="Daily Simple Interest",$E305*Inputs!$B$6/Inputs!$B$17*$D305,$E305*Inputs!$B$6/Inputs!$B$18),2))</f>
        <v/>
      </c>
      <c r="I305" s="25" t="str">
        <f t="shared" si="41"/>
        <v/>
      </c>
      <c r="J305" s="25" t="str">
        <f>IF($E305="","",IF($F305+$G305&gt;0,Inputs!$B$11,0))</f>
        <v/>
      </c>
      <c r="K305" s="25" t="str">
        <f t="shared" si="42"/>
        <v/>
      </c>
      <c r="L305" s="25" t="str">
        <f t="shared" si="43"/>
        <v/>
      </c>
      <c r="M305" s="25" t="str">
        <f t="shared" si="44"/>
        <v/>
      </c>
      <c r="N305" s="84" t="str">
        <f t="shared" si="45"/>
        <v/>
      </c>
      <c r="O305" s="23" t="str">
        <f t="shared" si="46"/>
        <v/>
      </c>
    </row>
    <row r="306" spans="1:15" ht="20" customHeight="1">
      <c r="A306" s="22" t="str">
        <f t="shared" si="40"/>
        <v/>
      </c>
      <c r="B306" s="23" t="str">
        <f>IF($E306="","",300)</f>
        <v/>
      </c>
      <c r="C306" s="24" t="str">
        <f t="shared" si="47"/>
        <v/>
      </c>
      <c r="D306" s="23" t="str">
        <f t="shared" si="48"/>
        <v/>
      </c>
      <c r="E306" s="25" t="str">
        <f t="shared" si="49"/>
        <v/>
      </c>
      <c r="F306" s="25" t="str">
        <f>IF($E306="","",ROUND(MIN(Comparison!$B$5,MAX(0,$E306+$H306)),2))</f>
        <v/>
      </c>
      <c r="G306" s="25" t="str">
        <f>IF($E306="","",ROUND(MIN(Inputs!$B$10,MAX(0,$E306+$H306-$F306)),2))</f>
        <v/>
      </c>
      <c r="H306" s="25" t="str">
        <f>IF($E306="","",ROUND(IF(Inputs!$B$12="Daily Simple Interest",$E306*Inputs!$B$6/Inputs!$B$17*$D306,$E306*Inputs!$B$6/Inputs!$B$18),2))</f>
        <v/>
      </c>
      <c r="I306" s="25" t="str">
        <f t="shared" si="41"/>
        <v/>
      </c>
      <c r="J306" s="25" t="str">
        <f>IF($E306="","",IF($F306+$G306&gt;0,Inputs!$B$11,0))</f>
        <v/>
      </c>
      <c r="K306" s="25" t="str">
        <f t="shared" si="42"/>
        <v/>
      </c>
      <c r="L306" s="25" t="str">
        <f t="shared" si="43"/>
        <v/>
      </c>
      <c r="M306" s="25" t="str">
        <f t="shared" si="44"/>
        <v/>
      </c>
      <c r="N306" s="84" t="str">
        <f t="shared" si="45"/>
        <v/>
      </c>
      <c r="O306" s="23" t="str">
        <f t="shared" si="46"/>
        <v/>
      </c>
    </row>
    <row r="307" spans="1:15" ht="20" customHeight="1">
      <c r="A307" s="22" t="str">
        <f t="shared" si="40"/>
        <v/>
      </c>
      <c r="B307" s="23" t="str">
        <f>IF($E307="","",301)</f>
        <v/>
      </c>
      <c r="C307" s="24" t="str">
        <f t="shared" si="47"/>
        <v/>
      </c>
      <c r="D307" s="23" t="str">
        <f t="shared" si="48"/>
        <v/>
      </c>
      <c r="E307" s="25" t="str">
        <f t="shared" si="49"/>
        <v/>
      </c>
      <c r="F307" s="25" t="str">
        <f>IF($E307="","",ROUND(MIN(Comparison!$B$5,MAX(0,$E307+$H307)),2))</f>
        <v/>
      </c>
      <c r="G307" s="25" t="str">
        <f>IF($E307="","",ROUND(MIN(Inputs!$B$10,MAX(0,$E307+$H307-$F307)),2))</f>
        <v/>
      </c>
      <c r="H307" s="25" t="str">
        <f>IF($E307="","",ROUND(IF(Inputs!$B$12="Daily Simple Interest",$E307*Inputs!$B$6/Inputs!$B$17*$D307,$E307*Inputs!$B$6/Inputs!$B$18),2))</f>
        <v/>
      </c>
      <c r="I307" s="25" t="str">
        <f t="shared" si="41"/>
        <v/>
      </c>
      <c r="J307" s="25" t="str">
        <f>IF($E307="","",IF($F307+$G307&gt;0,Inputs!$B$11,0))</f>
        <v/>
      </c>
      <c r="K307" s="25" t="str">
        <f t="shared" si="42"/>
        <v/>
      </c>
      <c r="L307" s="25" t="str">
        <f t="shared" si="43"/>
        <v/>
      </c>
      <c r="M307" s="25" t="str">
        <f t="shared" si="44"/>
        <v/>
      </c>
      <c r="N307" s="84" t="str">
        <f t="shared" si="45"/>
        <v/>
      </c>
      <c r="O307" s="23" t="str">
        <f t="shared" si="46"/>
        <v/>
      </c>
    </row>
    <row r="308" spans="1:15" ht="20" customHeight="1">
      <c r="A308" s="22" t="str">
        <f t="shared" si="40"/>
        <v/>
      </c>
      <c r="B308" s="23" t="str">
        <f>IF($E308="","",302)</f>
        <v/>
      </c>
      <c r="C308" s="24" t="str">
        <f t="shared" si="47"/>
        <v/>
      </c>
      <c r="D308" s="23" t="str">
        <f t="shared" si="48"/>
        <v/>
      </c>
      <c r="E308" s="25" t="str">
        <f t="shared" si="49"/>
        <v/>
      </c>
      <c r="F308" s="25" t="str">
        <f>IF($E308="","",ROUND(MIN(Comparison!$B$5,MAX(0,$E308+$H308)),2))</f>
        <v/>
      </c>
      <c r="G308" s="25" t="str">
        <f>IF($E308="","",ROUND(MIN(Inputs!$B$10,MAX(0,$E308+$H308-$F308)),2))</f>
        <v/>
      </c>
      <c r="H308" s="25" t="str">
        <f>IF($E308="","",ROUND(IF(Inputs!$B$12="Daily Simple Interest",$E308*Inputs!$B$6/Inputs!$B$17*$D308,$E308*Inputs!$B$6/Inputs!$B$18),2))</f>
        <v/>
      </c>
      <c r="I308" s="25" t="str">
        <f t="shared" si="41"/>
        <v/>
      </c>
      <c r="J308" s="25" t="str">
        <f>IF($E308="","",IF($F308+$G308&gt;0,Inputs!$B$11,0))</f>
        <v/>
      </c>
      <c r="K308" s="25" t="str">
        <f t="shared" si="42"/>
        <v/>
      </c>
      <c r="L308" s="25" t="str">
        <f t="shared" si="43"/>
        <v/>
      </c>
      <c r="M308" s="25" t="str">
        <f t="shared" si="44"/>
        <v/>
      </c>
      <c r="N308" s="84" t="str">
        <f t="shared" si="45"/>
        <v/>
      </c>
      <c r="O308" s="23" t="str">
        <f t="shared" si="46"/>
        <v/>
      </c>
    </row>
    <row r="309" spans="1:15" ht="20" customHeight="1">
      <c r="A309" s="22" t="str">
        <f t="shared" si="40"/>
        <v/>
      </c>
      <c r="B309" s="23" t="str">
        <f>IF($E309="","",303)</f>
        <v/>
      </c>
      <c r="C309" s="24" t="str">
        <f t="shared" si="47"/>
        <v/>
      </c>
      <c r="D309" s="23" t="str">
        <f t="shared" si="48"/>
        <v/>
      </c>
      <c r="E309" s="25" t="str">
        <f t="shared" si="49"/>
        <v/>
      </c>
      <c r="F309" s="25" t="str">
        <f>IF($E309="","",ROUND(MIN(Comparison!$B$5,MAX(0,$E309+$H309)),2))</f>
        <v/>
      </c>
      <c r="G309" s="25" t="str">
        <f>IF($E309="","",ROUND(MIN(Inputs!$B$10,MAX(0,$E309+$H309-$F309)),2))</f>
        <v/>
      </c>
      <c r="H309" s="25" t="str">
        <f>IF($E309="","",ROUND(IF(Inputs!$B$12="Daily Simple Interest",$E309*Inputs!$B$6/Inputs!$B$17*$D309,$E309*Inputs!$B$6/Inputs!$B$18),2))</f>
        <v/>
      </c>
      <c r="I309" s="25" t="str">
        <f t="shared" si="41"/>
        <v/>
      </c>
      <c r="J309" s="25" t="str">
        <f>IF($E309="","",IF($F309+$G309&gt;0,Inputs!$B$11,0))</f>
        <v/>
      </c>
      <c r="K309" s="25" t="str">
        <f t="shared" si="42"/>
        <v/>
      </c>
      <c r="L309" s="25" t="str">
        <f t="shared" si="43"/>
        <v/>
      </c>
      <c r="M309" s="25" t="str">
        <f t="shared" si="44"/>
        <v/>
      </c>
      <c r="N309" s="84" t="str">
        <f t="shared" si="45"/>
        <v/>
      </c>
      <c r="O309" s="23" t="str">
        <f t="shared" si="46"/>
        <v/>
      </c>
    </row>
    <row r="310" spans="1:15" ht="20" customHeight="1">
      <c r="A310" s="22" t="str">
        <f t="shared" si="40"/>
        <v/>
      </c>
      <c r="B310" s="23" t="str">
        <f>IF($E310="","",304)</f>
        <v/>
      </c>
      <c r="C310" s="24" t="str">
        <f t="shared" si="47"/>
        <v/>
      </c>
      <c r="D310" s="23" t="str">
        <f t="shared" si="48"/>
        <v/>
      </c>
      <c r="E310" s="25" t="str">
        <f t="shared" si="49"/>
        <v/>
      </c>
      <c r="F310" s="25" t="str">
        <f>IF($E310="","",ROUND(MIN(Comparison!$B$5,MAX(0,$E310+$H310)),2))</f>
        <v/>
      </c>
      <c r="G310" s="25" t="str">
        <f>IF($E310="","",ROUND(MIN(Inputs!$B$10,MAX(0,$E310+$H310-$F310)),2))</f>
        <v/>
      </c>
      <c r="H310" s="25" t="str">
        <f>IF($E310="","",ROUND(IF(Inputs!$B$12="Daily Simple Interest",$E310*Inputs!$B$6/Inputs!$B$17*$D310,$E310*Inputs!$B$6/Inputs!$B$18),2))</f>
        <v/>
      </c>
      <c r="I310" s="25" t="str">
        <f t="shared" si="41"/>
        <v/>
      </c>
      <c r="J310" s="25" t="str">
        <f>IF($E310="","",IF($F310+$G310&gt;0,Inputs!$B$11,0))</f>
        <v/>
      </c>
      <c r="K310" s="25" t="str">
        <f t="shared" si="42"/>
        <v/>
      </c>
      <c r="L310" s="25" t="str">
        <f t="shared" si="43"/>
        <v/>
      </c>
      <c r="M310" s="25" t="str">
        <f t="shared" si="44"/>
        <v/>
      </c>
      <c r="N310" s="84" t="str">
        <f t="shared" si="45"/>
        <v/>
      </c>
      <c r="O310" s="23" t="str">
        <f t="shared" si="46"/>
        <v/>
      </c>
    </row>
    <row r="311" spans="1:15" ht="20" customHeight="1">
      <c r="A311" s="22" t="str">
        <f t="shared" si="40"/>
        <v/>
      </c>
      <c r="B311" s="23" t="str">
        <f>IF($E311="","",305)</f>
        <v/>
      </c>
      <c r="C311" s="24" t="str">
        <f t="shared" si="47"/>
        <v/>
      </c>
      <c r="D311" s="23" t="str">
        <f t="shared" si="48"/>
        <v/>
      </c>
      <c r="E311" s="25" t="str">
        <f t="shared" si="49"/>
        <v/>
      </c>
      <c r="F311" s="25" t="str">
        <f>IF($E311="","",ROUND(MIN(Comparison!$B$5,MAX(0,$E311+$H311)),2))</f>
        <v/>
      </c>
      <c r="G311" s="25" t="str">
        <f>IF($E311="","",ROUND(MIN(Inputs!$B$10,MAX(0,$E311+$H311-$F311)),2))</f>
        <v/>
      </c>
      <c r="H311" s="25" t="str">
        <f>IF($E311="","",ROUND(IF(Inputs!$B$12="Daily Simple Interest",$E311*Inputs!$B$6/Inputs!$B$17*$D311,$E311*Inputs!$B$6/Inputs!$B$18),2))</f>
        <v/>
      </c>
      <c r="I311" s="25" t="str">
        <f t="shared" si="41"/>
        <v/>
      </c>
      <c r="J311" s="25" t="str">
        <f>IF($E311="","",IF($F311+$G311&gt;0,Inputs!$B$11,0))</f>
        <v/>
      </c>
      <c r="K311" s="25" t="str">
        <f t="shared" si="42"/>
        <v/>
      </c>
      <c r="L311" s="25" t="str">
        <f t="shared" si="43"/>
        <v/>
      </c>
      <c r="M311" s="25" t="str">
        <f t="shared" si="44"/>
        <v/>
      </c>
      <c r="N311" s="84" t="str">
        <f t="shared" si="45"/>
        <v/>
      </c>
      <c r="O311" s="23" t="str">
        <f t="shared" si="46"/>
        <v/>
      </c>
    </row>
    <row r="312" spans="1:15" ht="20" customHeight="1">
      <c r="A312" s="22" t="str">
        <f t="shared" si="40"/>
        <v/>
      </c>
      <c r="B312" s="23" t="str">
        <f>IF($E312="","",306)</f>
        <v/>
      </c>
      <c r="C312" s="24" t="str">
        <f t="shared" si="47"/>
        <v/>
      </c>
      <c r="D312" s="23" t="str">
        <f t="shared" si="48"/>
        <v/>
      </c>
      <c r="E312" s="25" t="str">
        <f t="shared" si="49"/>
        <v/>
      </c>
      <c r="F312" s="25" t="str">
        <f>IF($E312="","",ROUND(MIN(Comparison!$B$5,MAX(0,$E312+$H312)),2))</f>
        <v/>
      </c>
      <c r="G312" s="25" t="str">
        <f>IF($E312="","",ROUND(MIN(Inputs!$B$10,MAX(0,$E312+$H312-$F312)),2))</f>
        <v/>
      </c>
      <c r="H312" s="25" t="str">
        <f>IF($E312="","",ROUND(IF(Inputs!$B$12="Daily Simple Interest",$E312*Inputs!$B$6/Inputs!$B$17*$D312,$E312*Inputs!$B$6/Inputs!$B$18),2))</f>
        <v/>
      </c>
      <c r="I312" s="25" t="str">
        <f t="shared" si="41"/>
        <v/>
      </c>
      <c r="J312" s="25" t="str">
        <f>IF($E312="","",IF($F312+$G312&gt;0,Inputs!$B$11,0))</f>
        <v/>
      </c>
      <c r="K312" s="25" t="str">
        <f t="shared" si="42"/>
        <v/>
      </c>
      <c r="L312" s="25" t="str">
        <f t="shared" si="43"/>
        <v/>
      </c>
      <c r="M312" s="25" t="str">
        <f t="shared" si="44"/>
        <v/>
      </c>
      <c r="N312" s="84" t="str">
        <f t="shared" si="45"/>
        <v/>
      </c>
      <c r="O312" s="23" t="str">
        <f t="shared" si="46"/>
        <v/>
      </c>
    </row>
    <row r="313" spans="1:15" ht="20" customHeight="1">
      <c r="A313" s="22" t="str">
        <f t="shared" si="40"/>
        <v/>
      </c>
      <c r="B313" s="23" t="str">
        <f>IF($E313="","",307)</f>
        <v/>
      </c>
      <c r="C313" s="24" t="str">
        <f t="shared" si="47"/>
        <v/>
      </c>
      <c r="D313" s="23" t="str">
        <f t="shared" si="48"/>
        <v/>
      </c>
      <c r="E313" s="25" t="str">
        <f t="shared" si="49"/>
        <v/>
      </c>
      <c r="F313" s="25" t="str">
        <f>IF($E313="","",ROUND(MIN(Comparison!$B$5,MAX(0,$E313+$H313)),2))</f>
        <v/>
      </c>
      <c r="G313" s="25" t="str">
        <f>IF($E313="","",ROUND(MIN(Inputs!$B$10,MAX(0,$E313+$H313-$F313)),2))</f>
        <v/>
      </c>
      <c r="H313" s="25" t="str">
        <f>IF($E313="","",ROUND(IF(Inputs!$B$12="Daily Simple Interest",$E313*Inputs!$B$6/Inputs!$B$17*$D313,$E313*Inputs!$B$6/Inputs!$B$18),2))</f>
        <v/>
      </c>
      <c r="I313" s="25" t="str">
        <f t="shared" si="41"/>
        <v/>
      </c>
      <c r="J313" s="25" t="str">
        <f>IF($E313="","",IF($F313+$G313&gt;0,Inputs!$B$11,0))</f>
        <v/>
      </c>
      <c r="K313" s="25" t="str">
        <f t="shared" si="42"/>
        <v/>
      </c>
      <c r="L313" s="25" t="str">
        <f t="shared" si="43"/>
        <v/>
      </c>
      <c r="M313" s="25" t="str">
        <f t="shared" si="44"/>
        <v/>
      </c>
      <c r="N313" s="84" t="str">
        <f t="shared" si="45"/>
        <v/>
      </c>
      <c r="O313" s="23" t="str">
        <f t="shared" si="46"/>
        <v/>
      </c>
    </row>
    <row r="314" spans="1:15" ht="20" customHeight="1">
      <c r="A314" s="22" t="str">
        <f t="shared" si="40"/>
        <v/>
      </c>
      <c r="B314" s="23" t="str">
        <f>IF($E314="","",308)</f>
        <v/>
      </c>
      <c r="C314" s="24" t="str">
        <f t="shared" si="47"/>
        <v/>
      </c>
      <c r="D314" s="23" t="str">
        <f t="shared" si="48"/>
        <v/>
      </c>
      <c r="E314" s="25" t="str">
        <f t="shared" si="49"/>
        <v/>
      </c>
      <c r="F314" s="25" t="str">
        <f>IF($E314="","",ROUND(MIN(Comparison!$B$5,MAX(0,$E314+$H314)),2))</f>
        <v/>
      </c>
      <c r="G314" s="25" t="str">
        <f>IF($E314="","",ROUND(MIN(Inputs!$B$10,MAX(0,$E314+$H314-$F314)),2))</f>
        <v/>
      </c>
      <c r="H314" s="25" t="str">
        <f>IF($E314="","",ROUND(IF(Inputs!$B$12="Daily Simple Interest",$E314*Inputs!$B$6/Inputs!$B$17*$D314,$E314*Inputs!$B$6/Inputs!$B$18),2))</f>
        <v/>
      </c>
      <c r="I314" s="25" t="str">
        <f t="shared" si="41"/>
        <v/>
      </c>
      <c r="J314" s="25" t="str">
        <f>IF($E314="","",IF($F314+$G314&gt;0,Inputs!$B$11,0))</f>
        <v/>
      </c>
      <c r="K314" s="25" t="str">
        <f t="shared" si="42"/>
        <v/>
      </c>
      <c r="L314" s="25" t="str">
        <f t="shared" si="43"/>
        <v/>
      </c>
      <c r="M314" s="25" t="str">
        <f t="shared" si="44"/>
        <v/>
      </c>
      <c r="N314" s="84" t="str">
        <f t="shared" si="45"/>
        <v/>
      </c>
      <c r="O314" s="23" t="str">
        <f t="shared" si="46"/>
        <v/>
      </c>
    </row>
    <row r="315" spans="1:15" ht="20" customHeight="1">
      <c r="A315" s="22" t="str">
        <f t="shared" si="40"/>
        <v/>
      </c>
      <c r="B315" s="23" t="str">
        <f>IF($E315="","",309)</f>
        <v/>
      </c>
      <c r="C315" s="24" t="str">
        <f t="shared" si="47"/>
        <v/>
      </c>
      <c r="D315" s="23" t="str">
        <f t="shared" si="48"/>
        <v/>
      </c>
      <c r="E315" s="25" t="str">
        <f t="shared" si="49"/>
        <v/>
      </c>
      <c r="F315" s="25" t="str">
        <f>IF($E315="","",ROUND(MIN(Comparison!$B$5,MAX(0,$E315+$H315)),2))</f>
        <v/>
      </c>
      <c r="G315" s="25" t="str">
        <f>IF($E315="","",ROUND(MIN(Inputs!$B$10,MAX(0,$E315+$H315-$F315)),2))</f>
        <v/>
      </c>
      <c r="H315" s="25" t="str">
        <f>IF($E315="","",ROUND(IF(Inputs!$B$12="Daily Simple Interest",$E315*Inputs!$B$6/Inputs!$B$17*$D315,$E315*Inputs!$B$6/Inputs!$B$18),2))</f>
        <v/>
      </c>
      <c r="I315" s="25" t="str">
        <f t="shared" si="41"/>
        <v/>
      </c>
      <c r="J315" s="25" t="str">
        <f>IF($E315="","",IF($F315+$G315&gt;0,Inputs!$B$11,0))</f>
        <v/>
      </c>
      <c r="K315" s="25" t="str">
        <f t="shared" si="42"/>
        <v/>
      </c>
      <c r="L315" s="25" t="str">
        <f t="shared" si="43"/>
        <v/>
      </c>
      <c r="M315" s="25" t="str">
        <f t="shared" si="44"/>
        <v/>
      </c>
      <c r="N315" s="84" t="str">
        <f t="shared" si="45"/>
        <v/>
      </c>
      <c r="O315" s="23" t="str">
        <f t="shared" si="46"/>
        <v/>
      </c>
    </row>
    <row r="316" spans="1:15" ht="20" customHeight="1">
      <c r="A316" s="22" t="str">
        <f t="shared" si="40"/>
        <v/>
      </c>
      <c r="B316" s="23" t="str">
        <f>IF($E316="","",310)</f>
        <v/>
      </c>
      <c r="C316" s="24" t="str">
        <f t="shared" si="47"/>
        <v/>
      </c>
      <c r="D316" s="23" t="str">
        <f t="shared" si="48"/>
        <v/>
      </c>
      <c r="E316" s="25" t="str">
        <f t="shared" si="49"/>
        <v/>
      </c>
      <c r="F316" s="25" t="str">
        <f>IF($E316="","",ROUND(MIN(Comparison!$B$5,MAX(0,$E316+$H316)),2))</f>
        <v/>
      </c>
      <c r="G316" s="25" t="str">
        <f>IF($E316="","",ROUND(MIN(Inputs!$B$10,MAX(0,$E316+$H316-$F316)),2))</f>
        <v/>
      </c>
      <c r="H316" s="25" t="str">
        <f>IF($E316="","",ROUND(IF(Inputs!$B$12="Daily Simple Interest",$E316*Inputs!$B$6/Inputs!$B$17*$D316,$E316*Inputs!$B$6/Inputs!$B$18),2))</f>
        <v/>
      </c>
      <c r="I316" s="25" t="str">
        <f t="shared" si="41"/>
        <v/>
      </c>
      <c r="J316" s="25" t="str">
        <f>IF($E316="","",IF($F316+$G316&gt;0,Inputs!$B$11,0))</f>
        <v/>
      </c>
      <c r="K316" s="25" t="str">
        <f t="shared" si="42"/>
        <v/>
      </c>
      <c r="L316" s="25" t="str">
        <f t="shared" si="43"/>
        <v/>
      </c>
      <c r="M316" s="25" t="str">
        <f t="shared" si="44"/>
        <v/>
      </c>
      <c r="N316" s="84" t="str">
        <f t="shared" si="45"/>
        <v/>
      </c>
      <c r="O316" s="23" t="str">
        <f t="shared" si="46"/>
        <v/>
      </c>
    </row>
    <row r="317" spans="1:15" ht="20" customHeight="1">
      <c r="A317" s="22" t="str">
        <f t="shared" si="40"/>
        <v/>
      </c>
      <c r="B317" s="23" t="str">
        <f>IF($E317="","",311)</f>
        <v/>
      </c>
      <c r="C317" s="24" t="str">
        <f t="shared" si="47"/>
        <v/>
      </c>
      <c r="D317" s="23" t="str">
        <f t="shared" si="48"/>
        <v/>
      </c>
      <c r="E317" s="25" t="str">
        <f t="shared" si="49"/>
        <v/>
      </c>
      <c r="F317" s="25" t="str">
        <f>IF($E317="","",ROUND(MIN(Comparison!$B$5,MAX(0,$E317+$H317)),2))</f>
        <v/>
      </c>
      <c r="G317" s="25" t="str">
        <f>IF($E317="","",ROUND(MIN(Inputs!$B$10,MAX(0,$E317+$H317-$F317)),2))</f>
        <v/>
      </c>
      <c r="H317" s="25" t="str">
        <f>IF($E317="","",ROUND(IF(Inputs!$B$12="Daily Simple Interest",$E317*Inputs!$B$6/Inputs!$B$17*$D317,$E317*Inputs!$B$6/Inputs!$B$18),2))</f>
        <v/>
      </c>
      <c r="I317" s="25" t="str">
        <f t="shared" si="41"/>
        <v/>
      </c>
      <c r="J317" s="25" t="str">
        <f>IF($E317="","",IF($F317+$G317&gt;0,Inputs!$B$11,0))</f>
        <v/>
      </c>
      <c r="K317" s="25" t="str">
        <f t="shared" si="42"/>
        <v/>
      </c>
      <c r="L317" s="25" t="str">
        <f t="shared" si="43"/>
        <v/>
      </c>
      <c r="M317" s="25" t="str">
        <f t="shared" si="44"/>
        <v/>
      </c>
      <c r="N317" s="84" t="str">
        <f t="shared" si="45"/>
        <v/>
      </c>
      <c r="O317" s="23" t="str">
        <f t="shared" si="46"/>
        <v/>
      </c>
    </row>
    <row r="318" spans="1:15" ht="20" customHeight="1">
      <c r="A318" s="22" t="str">
        <f t="shared" si="40"/>
        <v/>
      </c>
      <c r="B318" s="23" t="str">
        <f>IF($E318="","",312)</f>
        <v/>
      </c>
      <c r="C318" s="24" t="str">
        <f t="shared" si="47"/>
        <v/>
      </c>
      <c r="D318" s="23" t="str">
        <f t="shared" si="48"/>
        <v/>
      </c>
      <c r="E318" s="25" t="str">
        <f t="shared" si="49"/>
        <v/>
      </c>
      <c r="F318" s="25" t="str">
        <f>IF($E318="","",ROUND(MIN(Comparison!$B$5,MAX(0,$E318+$H318)),2))</f>
        <v/>
      </c>
      <c r="G318" s="25" t="str">
        <f>IF($E318="","",ROUND(MIN(Inputs!$B$10,MAX(0,$E318+$H318-$F318)),2))</f>
        <v/>
      </c>
      <c r="H318" s="25" t="str">
        <f>IF($E318="","",ROUND(IF(Inputs!$B$12="Daily Simple Interest",$E318*Inputs!$B$6/Inputs!$B$17*$D318,$E318*Inputs!$B$6/Inputs!$B$18),2))</f>
        <v/>
      </c>
      <c r="I318" s="25" t="str">
        <f t="shared" si="41"/>
        <v/>
      </c>
      <c r="J318" s="25" t="str">
        <f>IF($E318="","",IF($F318+$G318&gt;0,Inputs!$B$11,0))</f>
        <v/>
      </c>
      <c r="K318" s="25" t="str">
        <f t="shared" si="42"/>
        <v/>
      </c>
      <c r="L318" s="25" t="str">
        <f t="shared" si="43"/>
        <v/>
      </c>
      <c r="M318" s="25" t="str">
        <f t="shared" si="44"/>
        <v/>
      </c>
      <c r="N318" s="84" t="str">
        <f t="shared" si="45"/>
        <v/>
      </c>
      <c r="O318" s="23" t="str">
        <f t="shared" si="46"/>
        <v/>
      </c>
    </row>
    <row r="319" spans="1:15" ht="20" customHeight="1">
      <c r="A319" s="22" t="str">
        <f t="shared" si="40"/>
        <v/>
      </c>
      <c r="B319" s="23" t="str">
        <f>IF($E319="","",313)</f>
        <v/>
      </c>
      <c r="C319" s="24" t="str">
        <f t="shared" si="47"/>
        <v/>
      </c>
      <c r="D319" s="23" t="str">
        <f t="shared" si="48"/>
        <v/>
      </c>
      <c r="E319" s="25" t="str">
        <f t="shared" si="49"/>
        <v/>
      </c>
      <c r="F319" s="25" t="str">
        <f>IF($E319="","",ROUND(MIN(Comparison!$B$5,MAX(0,$E319+$H319)),2))</f>
        <v/>
      </c>
      <c r="G319" s="25" t="str">
        <f>IF($E319="","",ROUND(MIN(Inputs!$B$10,MAX(0,$E319+$H319-$F319)),2))</f>
        <v/>
      </c>
      <c r="H319" s="25" t="str">
        <f>IF($E319="","",ROUND(IF(Inputs!$B$12="Daily Simple Interest",$E319*Inputs!$B$6/Inputs!$B$17*$D319,$E319*Inputs!$B$6/Inputs!$B$18),2))</f>
        <v/>
      </c>
      <c r="I319" s="25" t="str">
        <f t="shared" si="41"/>
        <v/>
      </c>
      <c r="J319" s="25" t="str">
        <f>IF($E319="","",IF($F319+$G319&gt;0,Inputs!$B$11,0))</f>
        <v/>
      </c>
      <c r="K319" s="25" t="str">
        <f t="shared" si="42"/>
        <v/>
      </c>
      <c r="L319" s="25" t="str">
        <f t="shared" si="43"/>
        <v/>
      </c>
      <c r="M319" s="25" t="str">
        <f t="shared" si="44"/>
        <v/>
      </c>
      <c r="N319" s="84" t="str">
        <f t="shared" si="45"/>
        <v/>
      </c>
      <c r="O319" s="23" t="str">
        <f t="shared" si="46"/>
        <v/>
      </c>
    </row>
    <row r="320" spans="1:15" ht="20" customHeight="1">
      <c r="A320" s="22" t="str">
        <f t="shared" si="40"/>
        <v/>
      </c>
      <c r="B320" s="23" t="str">
        <f>IF($E320="","",314)</f>
        <v/>
      </c>
      <c r="C320" s="24" t="str">
        <f t="shared" si="47"/>
        <v/>
      </c>
      <c r="D320" s="23" t="str">
        <f t="shared" si="48"/>
        <v/>
      </c>
      <c r="E320" s="25" t="str">
        <f t="shared" si="49"/>
        <v/>
      </c>
      <c r="F320" s="25" t="str">
        <f>IF($E320="","",ROUND(MIN(Comparison!$B$5,MAX(0,$E320+$H320)),2))</f>
        <v/>
      </c>
      <c r="G320" s="25" t="str">
        <f>IF($E320="","",ROUND(MIN(Inputs!$B$10,MAX(0,$E320+$H320-$F320)),2))</f>
        <v/>
      </c>
      <c r="H320" s="25" t="str">
        <f>IF($E320="","",ROUND(IF(Inputs!$B$12="Daily Simple Interest",$E320*Inputs!$B$6/Inputs!$B$17*$D320,$E320*Inputs!$B$6/Inputs!$B$18),2))</f>
        <v/>
      </c>
      <c r="I320" s="25" t="str">
        <f t="shared" si="41"/>
        <v/>
      </c>
      <c r="J320" s="25" t="str">
        <f>IF($E320="","",IF($F320+$G320&gt;0,Inputs!$B$11,0))</f>
        <v/>
      </c>
      <c r="K320" s="25" t="str">
        <f t="shared" si="42"/>
        <v/>
      </c>
      <c r="L320" s="25" t="str">
        <f t="shared" si="43"/>
        <v/>
      </c>
      <c r="M320" s="25" t="str">
        <f t="shared" si="44"/>
        <v/>
      </c>
      <c r="N320" s="84" t="str">
        <f t="shared" si="45"/>
        <v/>
      </c>
      <c r="O320" s="23" t="str">
        <f t="shared" si="46"/>
        <v/>
      </c>
    </row>
    <row r="321" spans="1:15" ht="20" customHeight="1">
      <c r="A321" s="22" t="str">
        <f t="shared" si="40"/>
        <v/>
      </c>
      <c r="B321" s="23" t="str">
        <f>IF($E321="","",315)</f>
        <v/>
      </c>
      <c r="C321" s="24" t="str">
        <f t="shared" si="47"/>
        <v/>
      </c>
      <c r="D321" s="23" t="str">
        <f t="shared" si="48"/>
        <v/>
      </c>
      <c r="E321" s="25" t="str">
        <f t="shared" si="49"/>
        <v/>
      </c>
      <c r="F321" s="25" t="str">
        <f>IF($E321="","",ROUND(MIN(Comparison!$B$5,MAX(0,$E321+$H321)),2))</f>
        <v/>
      </c>
      <c r="G321" s="25" t="str">
        <f>IF($E321="","",ROUND(MIN(Inputs!$B$10,MAX(0,$E321+$H321-$F321)),2))</f>
        <v/>
      </c>
      <c r="H321" s="25" t="str">
        <f>IF($E321="","",ROUND(IF(Inputs!$B$12="Daily Simple Interest",$E321*Inputs!$B$6/Inputs!$B$17*$D321,$E321*Inputs!$B$6/Inputs!$B$18),2))</f>
        <v/>
      </c>
      <c r="I321" s="25" t="str">
        <f t="shared" si="41"/>
        <v/>
      </c>
      <c r="J321" s="25" t="str">
        <f>IF($E321="","",IF($F321+$G321&gt;0,Inputs!$B$11,0))</f>
        <v/>
      </c>
      <c r="K321" s="25" t="str">
        <f t="shared" si="42"/>
        <v/>
      </c>
      <c r="L321" s="25" t="str">
        <f t="shared" si="43"/>
        <v/>
      </c>
      <c r="M321" s="25" t="str">
        <f t="shared" si="44"/>
        <v/>
      </c>
      <c r="N321" s="84" t="str">
        <f t="shared" si="45"/>
        <v/>
      </c>
      <c r="O321" s="23" t="str">
        <f t="shared" si="46"/>
        <v/>
      </c>
    </row>
    <row r="322" spans="1:15" ht="20" customHeight="1">
      <c r="A322" s="22" t="str">
        <f t="shared" si="40"/>
        <v/>
      </c>
      <c r="B322" s="23" t="str">
        <f>IF($E322="","",316)</f>
        <v/>
      </c>
      <c r="C322" s="24" t="str">
        <f t="shared" si="47"/>
        <v/>
      </c>
      <c r="D322" s="23" t="str">
        <f t="shared" si="48"/>
        <v/>
      </c>
      <c r="E322" s="25" t="str">
        <f t="shared" si="49"/>
        <v/>
      </c>
      <c r="F322" s="25" t="str">
        <f>IF($E322="","",ROUND(MIN(Comparison!$B$5,MAX(0,$E322+$H322)),2))</f>
        <v/>
      </c>
      <c r="G322" s="25" t="str">
        <f>IF($E322="","",ROUND(MIN(Inputs!$B$10,MAX(0,$E322+$H322-$F322)),2))</f>
        <v/>
      </c>
      <c r="H322" s="25" t="str">
        <f>IF($E322="","",ROUND(IF(Inputs!$B$12="Daily Simple Interest",$E322*Inputs!$B$6/Inputs!$B$17*$D322,$E322*Inputs!$B$6/Inputs!$B$18),2))</f>
        <v/>
      </c>
      <c r="I322" s="25" t="str">
        <f t="shared" si="41"/>
        <v/>
      </c>
      <c r="J322" s="25" t="str">
        <f>IF($E322="","",IF($F322+$G322&gt;0,Inputs!$B$11,0))</f>
        <v/>
      </c>
      <c r="K322" s="25" t="str">
        <f t="shared" si="42"/>
        <v/>
      </c>
      <c r="L322" s="25" t="str">
        <f t="shared" si="43"/>
        <v/>
      </c>
      <c r="M322" s="25" t="str">
        <f t="shared" si="44"/>
        <v/>
      </c>
      <c r="N322" s="84" t="str">
        <f t="shared" si="45"/>
        <v/>
      </c>
      <c r="O322" s="23" t="str">
        <f t="shared" si="46"/>
        <v/>
      </c>
    </row>
    <row r="323" spans="1:15" ht="20" customHeight="1">
      <c r="A323" s="22" t="str">
        <f t="shared" si="40"/>
        <v/>
      </c>
      <c r="B323" s="23" t="str">
        <f>IF($E323="","",317)</f>
        <v/>
      </c>
      <c r="C323" s="24" t="str">
        <f t="shared" si="47"/>
        <v/>
      </c>
      <c r="D323" s="23" t="str">
        <f t="shared" si="48"/>
        <v/>
      </c>
      <c r="E323" s="25" t="str">
        <f t="shared" si="49"/>
        <v/>
      </c>
      <c r="F323" s="25" t="str">
        <f>IF($E323="","",ROUND(MIN(Comparison!$B$5,MAX(0,$E323+$H323)),2))</f>
        <v/>
      </c>
      <c r="G323" s="25" t="str">
        <f>IF($E323="","",ROUND(MIN(Inputs!$B$10,MAX(0,$E323+$H323-$F323)),2))</f>
        <v/>
      </c>
      <c r="H323" s="25" t="str">
        <f>IF($E323="","",ROUND(IF(Inputs!$B$12="Daily Simple Interest",$E323*Inputs!$B$6/Inputs!$B$17*$D323,$E323*Inputs!$B$6/Inputs!$B$18),2))</f>
        <v/>
      </c>
      <c r="I323" s="25" t="str">
        <f t="shared" si="41"/>
        <v/>
      </c>
      <c r="J323" s="25" t="str">
        <f>IF($E323="","",IF($F323+$G323&gt;0,Inputs!$B$11,0))</f>
        <v/>
      </c>
      <c r="K323" s="25" t="str">
        <f t="shared" si="42"/>
        <v/>
      </c>
      <c r="L323" s="25" t="str">
        <f t="shared" si="43"/>
        <v/>
      </c>
      <c r="M323" s="25" t="str">
        <f t="shared" si="44"/>
        <v/>
      </c>
      <c r="N323" s="84" t="str">
        <f t="shared" si="45"/>
        <v/>
      </c>
      <c r="O323" s="23" t="str">
        <f t="shared" si="46"/>
        <v/>
      </c>
    </row>
    <row r="324" spans="1:15" ht="20" customHeight="1">
      <c r="A324" s="22" t="str">
        <f t="shared" si="40"/>
        <v/>
      </c>
      <c r="B324" s="23" t="str">
        <f>IF($E324="","",318)</f>
        <v/>
      </c>
      <c r="C324" s="24" t="str">
        <f t="shared" si="47"/>
        <v/>
      </c>
      <c r="D324" s="23" t="str">
        <f t="shared" si="48"/>
        <v/>
      </c>
      <c r="E324" s="25" t="str">
        <f t="shared" si="49"/>
        <v/>
      </c>
      <c r="F324" s="25" t="str">
        <f>IF($E324="","",ROUND(MIN(Comparison!$B$5,MAX(0,$E324+$H324)),2))</f>
        <v/>
      </c>
      <c r="G324" s="25" t="str">
        <f>IF($E324="","",ROUND(MIN(Inputs!$B$10,MAX(0,$E324+$H324-$F324)),2))</f>
        <v/>
      </c>
      <c r="H324" s="25" t="str">
        <f>IF($E324="","",ROUND(IF(Inputs!$B$12="Daily Simple Interest",$E324*Inputs!$B$6/Inputs!$B$17*$D324,$E324*Inputs!$B$6/Inputs!$B$18),2))</f>
        <v/>
      </c>
      <c r="I324" s="25" t="str">
        <f t="shared" si="41"/>
        <v/>
      </c>
      <c r="J324" s="25" t="str">
        <f>IF($E324="","",IF($F324+$G324&gt;0,Inputs!$B$11,0))</f>
        <v/>
      </c>
      <c r="K324" s="25" t="str">
        <f t="shared" si="42"/>
        <v/>
      </c>
      <c r="L324" s="25" t="str">
        <f t="shared" si="43"/>
        <v/>
      </c>
      <c r="M324" s="25" t="str">
        <f t="shared" si="44"/>
        <v/>
      </c>
      <c r="N324" s="84" t="str">
        <f t="shared" si="45"/>
        <v/>
      </c>
      <c r="O324" s="23" t="str">
        <f t="shared" si="46"/>
        <v/>
      </c>
    </row>
    <row r="325" spans="1:15" ht="20" customHeight="1">
      <c r="A325" s="22" t="str">
        <f t="shared" si="40"/>
        <v/>
      </c>
      <c r="B325" s="23" t="str">
        <f>IF($E325="","",319)</f>
        <v/>
      </c>
      <c r="C325" s="24" t="str">
        <f t="shared" si="47"/>
        <v/>
      </c>
      <c r="D325" s="23" t="str">
        <f t="shared" si="48"/>
        <v/>
      </c>
      <c r="E325" s="25" t="str">
        <f t="shared" si="49"/>
        <v/>
      </c>
      <c r="F325" s="25" t="str">
        <f>IF($E325="","",ROUND(MIN(Comparison!$B$5,MAX(0,$E325+$H325)),2))</f>
        <v/>
      </c>
      <c r="G325" s="25" t="str">
        <f>IF($E325="","",ROUND(MIN(Inputs!$B$10,MAX(0,$E325+$H325-$F325)),2))</f>
        <v/>
      </c>
      <c r="H325" s="25" t="str">
        <f>IF($E325="","",ROUND(IF(Inputs!$B$12="Daily Simple Interest",$E325*Inputs!$B$6/Inputs!$B$17*$D325,$E325*Inputs!$B$6/Inputs!$B$18),2))</f>
        <v/>
      </c>
      <c r="I325" s="25" t="str">
        <f t="shared" si="41"/>
        <v/>
      </c>
      <c r="J325" s="25" t="str">
        <f>IF($E325="","",IF($F325+$G325&gt;0,Inputs!$B$11,0))</f>
        <v/>
      </c>
      <c r="K325" s="25" t="str">
        <f t="shared" si="42"/>
        <v/>
      </c>
      <c r="L325" s="25" t="str">
        <f t="shared" si="43"/>
        <v/>
      </c>
      <c r="M325" s="25" t="str">
        <f t="shared" si="44"/>
        <v/>
      </c>
      <c r="N325" s="84" t="str">
        <f t="shared" si="45"/>
        <v/>
      </c>
      <c r="O325" s="23" t="str">
        <f t="shared" si="46"/>
        <v/>
      </c>
    </row>
    <row r="326" spans="1:15" ht="20" customHeight="1">
      <c r="A326" s="22" t="str">
        <f t="shared" si="40"/>
        <v/>
      </c>
      <c r="B326" s="23" t="str">
        <f>IF($E326="","",320)</f>
        <v/>
      </c>
      <c r="C326" s="24" t="str">
        <f t="shared" si="47"/>
        <v/>
      </c>
      <c r="D326" s="23" t="str">
        <f t="shared" si="48"/>
        <v/>
      </c>
      <c r="E326" s="25" t="str">
        <f t="shared" si="49"/>
        <v/>
      </c>
      <c r="F326" s="25" t="str">
        <f>IF($E326="","",ROUND(MIN(Comparison!$B$5,MAX(0,$E326+$H326)),2))</f>
        <v/>
      </c>
      <c r="G326" s="25" t="str">
        <f>IF($E326="","",ROUND(MIN(Inputs!$B$10,MAX(0,$E326+$H326-$F326)),2))</f>
        <v/>
      </c>
      <c r="H326" s="25" t="str">
        <f>IF($E326="","",ROUND(IF(Inputs!$B$12="Daily Simple Interest",$E326*Inputs!$B$6/Inputs!$B$17*$D326,$E326*Inputs!$B$6/Inputs!$B$18),2))</f>
        <v/>
      </c>
      <c r="I326" s="25" t="str">
        <f t="shared" si="41"/>
        <v/>
      </c>
      <c r="J326" s="25" t="str">
        <f>IF($E326="","",IF($F326+$G326&gt;0,Inputs!$B$11,0))</f>
        <v/>
      </c>
      <c r="K326" s="25" t="str">
        <f t="shared" si="42"/>
        <v/>
      </c>
      <c r="L326" s="25" t="str">
        <f t="shared" si="43"/>
        <v/>
      </c>
      <c r="M326" s="25" t="str">
        <f t="shared" si="44"/>
        <v/>
      </c>
      <c r="N326" s="84" t="str">
        <f t="shared" si="45"/>
        <v/>
      </c>
      <c r="O326" s="23" t="str">
        <f t="shared" si="46"/>
        <v/>
      </c>
    </row>
    <row r="327" spans="1:15" ht="20" customHeight="1">
      <c r="A327" s="22" t="str">
        <f t="shared" ref="A327:A346" si="50">IF($E327="","","Monthly")</f>
        <v/>
      </c>
      <c r="B327" s="23" t="str">
        <f>IF($E327="","",321)</f>
        <v/>
      </c>
      <c r="C327" s="24" t="str">
        <f t="shared" si="47"/>
        <v/>
      </c>
      <c r="D327" s="23" t="str">
        <f t="shared" si="48"/>
        <v/>
      </c>
      <c r="E327" s="25" t="str">
        <f t="shared" si="49"/>
        <v/>
      </c>
      <c r="F327" s="25" t="str">
        <f>IF($E327="","",ROUND(MIN(Comparison!$B$5,MAX(0,$E327+$H327)),2))</f>
        <v/>
      </c>
      <c r="G327" s="25" t="str">
        <f>IF($E327="","",ROUND(MIN(Inputs!$B$10,MAX(0,$E327+$H327-$F327)),2))</f>
        <v/>
      </c>
      <c r="H327" s="25" t="str">
        <f>IF($E327="","",ROUND(IF(Inputs!$B$12="Daily Simple Interest",$E327*Inputs!$B$6/Inputs!$B$17*$D327,$E327*Inputs!$B$6/Inputs!$B$18),2))</f>
        <v/>
      </c>
      <c r="I327" s="25" t="str">
        <f t="shared" ref="I327:I390" si="51">IF($E327="","",ROUND($F327+$G327-$H327,2))</f>
        <v/>
      </c>
      <c r="J327" s="25" t="str">
        <f>IF($E327="","",IF($F327+$G327&gt;0,Inputs!$B$11,0))</f>
        <v/>
      </c>
      <c r="K327" s="25" t="str">
        <f t="shared" ref="K327:K390" si="52">IF($E327="","",ROUND(MAX(0,$E327-$I327),2))</f>
        <v/>
      </c>
      <c r="L327" s="25" t="str">
        <f t="shared" ref="L327:L390" si="53">IF($E327="","",$F327+$G327)</f>
        <v/>
      </c>
      <c r="M327" s="25" t="str">
        <f t="shared" ref="M327:M390" si="54">IF($E327="","",0)</f>
        <v/>
      </c>
      <c r="N327" s="84" t="str">
        <f t="shared" ref="N327:N390" si="55">IF($E327="","",IF($K327&lt;=0.005,"PAID OFF","ACTIVE"))</f>
        <v/>
      </c>
      <c r="O327" s="23" t="str">
        <f t="shared" ref="O327:O390" si="56">IF($E327="","",IF($F327+$G327&gt;0,1,0))</f>
        <v/>
      </c>
    </row>
    <row r="328" spans="1:15" ht="20" customHeight="1">
      <c r="A328" s="22" t="str">
        <f t="shared" si="50"/>
        <v/>
      </c>
      <c r="B328" s="23" t="str">
        <f>IF($E328="","",322)</f>
        <v/>
      </c>
      <c r="C328" s="24" t="str">
        <f t="shared" ref="C328:C346" si="57">IF($E328="","",EDATE($C327,1))</f>
        <v/>
      </c>
      <c r="D328" s="23" t="str">
        <f t="shared" ref="D328:D346" si="58">IF($E328="","",$C328-$C327)</f>
        <v/>
      </c>
      <c r="E328" s="25" t="str">
        <f t="shared" ref="E328:E346" si="59">IF($K327&gt;0.005,$K327,"")</f>
        <v/>
      </c>
      <c r="F328" s="25" t="str">
        <f>IF($E328="","",ROUND(MIN(Comparison!$B$5,MAX(0,$E328+$H328)),2))</f>
        <v/>
      </c>
      <c r="G328" s="25" t="str">
        <f>IF($E328="","",ROUND(MIN(Inputs!$B$10,MAX(0,$E328+$H328-$F328)),2))</f>
        <v/>
      </c>
      <c r="H328" s="25" t="str">
        <f>IF($E328="","",ROUND(IF(Inputs!$B$12="Daily Simple Interest",$E328*Inputs!$B$6/Inputs!$B$17*$D328,$E328*Inputs!$B$6/Inputs!$B$18),2))</f>
        <v/>
      </c>
      <c r="I328" s="25" t="str">
        <f t="shared" si="51"/>
        <v/>
      </c>
      <c r="J328" s="25" t="str">
        <f>IF($E328="","",IF($F328+$G328&gt;0,Inputs!$B$11,0))</f>
        <v/>
      </c>
      <c r="K328" s="25" t="str">
        <f t="shared" si="52"/>
        <v/>
      </c>
      <c r="L328" s="25" t="str">
        <f t="shared" si="53"/>
        <v/>
      </c>
      <c r="M328" s="25" t="str">
        <f t="shared" si="54"/>
        <v/>
      </c>
      <c r="N328" s="84" t="str">
        <f t="shared" si="55"/>
        <v/>
      </c>
      <c r="O328" s="23" t="str">
        <f t="shared" si="56"/>
        <v/>
      </c>
    </row>
    <row r="329" spans="1:15" ht="20" customHeight="1">
      <c r="A329" s="22" t="str">
        <f t="shared" si="50"/>
        <v/>
      </c>
      <c r="B329" s="23" t="str">
        <f>IF($E329="","",323)</f>
        <v/>
      </c>
      <c r="C329" s="24" t="str">
        <f t="shared" si="57"/>
        <v/>
      </c>
      <c r="D329" s="23" t="str">
        <f t="shared" si="58"/>
        <v/>
      </c>
      <c r="E329" s="25" t="str">
        <f t="shared" si="59"/>
        <v/>
      </c>
      <c r="F329" s="25" t="str">
        <f>IF($E329="","",ROUND(MIN(Comparison!$B$5,MAX(0,$E329+$H329)),2))</f>
        <v/>
      </c>
      <c r="G329" s="25" t="str">
        <f>IF($E329="","",ROUND(MIN(Inputs!$B$10,MAX(0,$E329+$H329-$F329)),2))</f>
        <v/>
      </c>
      <c r="H329" s="25" t="str">
        <f>IF($E329="","",ROUND(IF(Inputs!$B$12="Daily Simple Interest",$E329*Inputs!$B$6/Inputs!$B$17*$D329,$E329*Inputs!$B$6/Inputs!$B$18),2))</f>
        <v/>
      </c>
      <c r="I329" s="25" t="str">
        <f t="shared" si="51"/>
        <v/>
      </c>
      <c r="J329" s="25" t="str">
        <f>IF($E329="","",IF($F329+$G329&gt;0,Inputs!$B$11,0))</f>
        <v/>
      </c>
      <c r="K329" s="25" t="str">
        <f t="shared" si="52"/>
        <v/>
      </c>
      <c r="L329" s="25" t="str">
        <f t="shared" si="53"/>
        <v/>
      </c>
      <c r="M329" s="25" t="str">
        <f t="shared" si="54"/>
        <v/>
      </c>
      <c r="N329" s="84" t="str">
        <f t="shared" si="55"/>
        <v/>
      </c>
      <c r="O329" s="23" t="str">
        <f t="shared" si="56"/>
        <v/>
      </c>
    </row>
    <row r="330" spans="1:15" ht="20" customHeight="1">
      <c r="A330" s="22" t="str">
        <f t="shared" si="50"/>
        <v/>
      </c>
      <c r="B330" s="23" t="str">
        <f>IF($E330="","",324)</f>
        <v/>
      </c>
      <c r="C330" s="24" t="str">
        <f t="shared" si="57"/>
        <v/>
      </c>
      <c r="D330" s="23" t="str">
        <f t="shared" si="58"/>
        <v/>
      </c>
      <c r="E330" s="25" t="str">
        <f t="shared" si="59"/>
        <v/>
      </c>
      <c r="F330" s="25" t="str">
        <f>IF($E330="","",ROUND(MIN(Comparison!$B$5,MAX(0,$E330+$H330)),2))</f>
        <v/>
      </c>
      <c r="G330" s="25" t="str">
        <f>IF($E330="","",ROUND(MIN(Inputs!$B$10,MAX(0,$E330+$H330-$F330)),2))</f>
        <v/>
      </c>
      <c r="H330" s="25" t="str">
        <f>IF($E330="","",ROUND(IF(Inputs!$B$12="Daily Simple Interest",$E330*Inputs!$B$6/Inputs!$B$17*$D330,$E330*Inputs!$B$6/Inputs!$B$18),2))</f>
        <v/>
      </c>
      <c r="I330" s="25" t="str">
        <f t="shared" si="51"/>
        <v/>
      </c>
      <c r="J330" s="25" t="str">
        <f>IF($E330="","",IF($F330+$G330&gt;0,Inputs!$B$11,0))</f>
        <v/>
      </c>
      <c r="K330" s="25" t="str">
        <f t="shared" si="52"/>
        <v/>
      </c>
      <c r="L330" s="25" t="str">
        <f t="shared" si="53"/>
        <v/>
      </c>
      <c r="M330" s="25" t="str">
        <f t="shared" si="54"/>
        <v/>
      </c>
      <c r="N330" s="84" t="str">
        <f t="shared" si="55"/>
        <v/>
      </c>
      <c r="O330" s="23" t="str">
        <f t="shared" si="56"/>
        <v/>
      </c>
    </row>
    <row r="331" spans="1:15" ht="20" customHeight="1">
      <c r="A331" s="22" t="str">
        <f t="shared" si="50"/>
        <v/>
      </c>
      <c r="B331" s="23" t="str">
        <f>IF($E331="","",325)</f>
        <v/>
      </c>
      <c r="C331" s="24" t="str">
        <f t="shared" si="57"/>
        <v/>
      </c>
      <c r="D331" s="23" t="str">
        <f t="shared" si="58"/>
        <v/>
      </c>
      <c r="E331" s="25" t="str">
        <f t="shared" si="59"/>
        <v/>
      </c>
      <c r="F331" s="25" t="str">
        <f>IF($E331="","",ROUND(MIN(Comparison!$B$5,MAX(0,$E331+$H331)),2))</f>
        <v/>
      </c>
      <c r="G331" s="25" t="str">
        <f>IF($E331="","",ROUND(MIN(Inputs!$B$10,MAX(0,$E331+$H331-$F331)),2))</f>
        <v/>
      </c>
      <c r="H331" s="25" t="str">
        <f>IF($E331="","",ROUND(IF(Inputs!$B$12="Daily Simple Interest",$E331*Inputs!$B$6/Inputs!$B$17*$D331,$E331*Inputs!$B$6/Inputs!$B$18),2))</f>
        <v/>
      </c>
      <c r="I331" s="25" t="str">
        <f t="shared" si="51"/>
        <v/>
      </c>
      <c r="J331" s="25" t="str">
        <f>IF($E331="","",IF($F331+$G331&gt;0,Inputs!$B$11,0))</f>
        <v/>
      </c>
      <c r="K331" s="25" t="str">
        <f t="shared" si="52"/>
        <v/>
      </c>
      <c r="L331" s="25" t="str">
        <f t="shared" si="53"/>
        <v/>
      </c>
      <c r="M331" s="25" t="str">
        <f t="shared" si="54"/>
        <v/>
      </c>
      <c r="N331" s="84" t="str">
        <f t="shared" si="55"/>
        <v/>
      </c>
      <c r="O331" s="23" t="str">
        <f t="shared" si="56"/>
        <v/>
      </c>
    </row>
    <row r="332" spans="1:15" ht="20" customHeight="1">
      <c r="A332" s="22" t="str">
        <f t="shared" si="50"/>
        <v/>
      </c>
      <c r="B332" s="23" t="str">
        <f>IF($E332="","",326)</f>
        <v/>
      </c>
      <c r="C332" s="24" t="str">
        <f t="shared" si="57"/>
        <v/>
      </c>
      <c r="D332" s="23" t="str">
        <f t="shared" si="58"/>
        <v/>
      </c>
      <c r="E332" s="25" t="str">
        <f t="shared" si="59"/>
        <v/>
      </c>
      <c r="F332" s="25" t="str">
        <f>IF($E332="","",ROUND(MIN(Comparison!$B$5,MAX(0,$E332+$H332)),2))</f>
        <v/>
      </c>
      <c r="G332" s="25" t="str">
        <f>IF($E332="","",ROUND(MIN(Inputs!$B$10,MAX(0,$E332+$H332-$F332)),2))</f>
        <v/>
      </c>
      <c r="H332" s="25" t="str">
        <f>IF($E332="","",ROUND(IF(Inputs!$B$12="Daily Simple Interest",$E332*Inputs!$B$6/Inputs!$B$17*$D332,$E332*Inputs!$B$6/Inputs!$B$18),2))</f>
        <v/>
      </c>
      <c r="I332" s="25" t="str">
        <f t="shared" si="51"/>
        <v/>
      </c>
      <c r="J332" s="25" t="str">
        <f>IF($E332="","",IF($F332+$G332&gt;0,Inputs!$B$11,0))</f>
        <v/>
      </c>
      <c r="K332" s="25" t="str">
        <f t="shared" si="52"/>
        <v/>
      </c>
      <c r="L332" s="25" t="str">
        <f t="shared" si="53"/>
        <v/>
      </c>
      <c r="M332" s="25" t="str">
        <f t="shared" si="54"/>
        <v/>
      </c>
      <c r="N332" s="84" t="str">
        <f t="shared" si="55"/>
        <v/>
      </c>
      <c r="O332" s="23" t="str">
        <f t="shared" si="56"/>
        <v/>
      </c>
    </row>
    <row r="333" spans="1:15" ht="20" customHeight="1">
      <c r="A333" s="22" t="str">
        <f t="shared" si="50"/>
        <v/>
      </c>
      <c r="B333" s="23" t="str">
        <f>IF($E333="","",327)</f>
        <v/>
      </c>
      <c r="C333" s="24" t="str">
        <f t="shared" si="57"/>
        <v/>
      </c>
      <c r="D333" s="23" t="str">
        <f t="shared" si="58"/>
        <v/>
      </c>
      <c r="E333" s="25" t="str">
        <f t="shared" si="59"/>
        <v/>
      </c>
      <c r="F333" s="25" t="str">
        <f>IF($E333="","",ROUND(MIN(Comparison!$B$5,MAX(0,$E333+$H333)),2))</f>
        <v/>
      </c>
      <c r="G333" s="25" t="str">
        <f>IF($E333="","",ROUND(MIN(Inputs!$B$10,MAX(0,$E333+$H333-$F333)),2))</f>
        <v/>
      </c>
      <c r="H333" s="25" t="str">
        <f>IF($E333="","",ROUND(IF(Inputs!$B$12="Daily Simple Interest",$E333*Inputs!$B$6/Inputs!$B$17*$D333,$E333*Inputs!$B$6/Inputs!$B$18),2))</f>
        <v/>
      </c>
      <c r="I333" s="25" t="str">
        <f t="shared" si="51"/>
        <v/>
      </c>
      <c r="J333" s="25" t="str">
        <f>IF($E333="","",IF($F333+$G333&gt;0,Inputs!$B$11,0))</f>
        <v/>
      </c>
      <c r="K333" s="25" t="str">
        <f t="shared" si="52"/>
        <v/>
      </c>
      <c r="L333" s="25" t="str">
        <f t="shared" si="53"/>
        <v/>
      </c>
      <c r="M333" s="25" t="str">
        <f t="shared" si="54"/>
        <v/>
      </c>
      <c r="N333" s="84" t="str">
        <f t="shared" si="55"/>
        <v/>
      </c>
      <c r="O333" s="23" t="str">
        <f t="shared" si="56"/>
        <v/>
      </c>
    </row>
    <row r="334" spans="1:15" ht="20" customHeight="1">
      <c r="A334" s="22" t="str">
        <f t="shared" si="50"/>
        <v/>
      </c>
      <c r="B334" s="23" t="str">
        <f>IF($E334="","",328)</f>
        <v/>
      </c>
      <c r="C334" s="24" t="str">
        <f t="shared" si="57"/>
        <v/>
      </c>
      <c r="D334" s="23" t="str">
        <f t="shared" si="58"/>
        <v/>
      </c>
      <c r="E334" s="25" t="str">
        <f t="shared" si="59"/>
        <v/>
      </c>
      <c r="F334" s="25" t="str">
        <f>IF($E334="","",ROUND(MIN(Comparison!$B$5,MAX(0,$E334+$H334)),2))</f>
        <v/>
      </c>
      <c r="G334" s="25" t="str">
        <f>IF($E334="","",ROUND(MIN(Inputs!$B$10,MAX(0,$E334+$H334-$F334)),2))</f>
        <v/>
      </c>
      <c r="H334" s="25" t="str">
        <f>IF($E334="","",ROUND(IF(Inputs!$B$12="Daily Simple Interest",$E334*Inputs!$B$6/Inputs!$B$17*$D334,$E334*Inputs!$B$6/Inputs!$B$18),2))</f>
        <v/>
      </c>
      <c r="I334" s="25" t="str">
        <f t="shared" si="51"/>
        <v/>
      </c>
      <c r="J334" s="25" t="str">
        <f>IF($E334="","",IF($F334+$G334&gt;0,Inputs!$B$11,0))</f>
        <v/>
      </c>
      <c r="K334" s="25" t="str">
        <f t="shared" si="52"/>
        <v/>
      </c>
      <c r="L334" s="25" t="str">
        <f t="shared" si="53"/>
        <v/>
      </c>
      <c r="M334" s="25" t="str">
        <f t="shared" si="54"/>
        <v/>
      </c>
      <c r="N334" s="84" t="str">
        <f t="shared" si="55"/>
        <v/>
      </c>
      <c r="O334" s="23" t="str">
        <f t="shared" si="56"/>
        <v/>
      </c>
    </row>
    <row r="335" spans="1:15" ht="20" customHeight="1">
      <c r="A335" s="22" t="str">
        <f t="shared" si="50"/>
        <v/>
      </c>
      <c r="B335" s="23" t="str">
        <f>IF($E335="","",329)</f>
        <v/>
      </c>
      <c r="C335" s="24" t="str">
        <f t="shared" si="57"/>
        <v/>
      </c>
      <c r="D335" s="23" t="str">
        <f t="shared" si="58"/>
        <v/>
      </c>
      <c r="E335" s="25" t="str">
        <f t="shared" si="59"/>
        <v/>
      </c>
      <c r="F335" s="25" t="str">
        <f>IF($E335="","",ROUND(MIN(Comparison!$B$5,MAX(0,$E335+$H335)),2))</f>
        <v/>
      </c>
      <c r="G335" s="25" t="str">
        <f>IF($E335="","",ROUND(MIN(Inputs!$B$10,MAX(0,$E335+$H335-$F335)),2))</f>
        <v/>
      </c>
      <c r="H335" s="25" t="str">
        <f>IF($E335="","",ROUND(IF(Inputs!$B$12="Daily Simple Interest",$E335*Inputs!$B$6/Inputs!$B$17*$D335,$E335*Inputs!$B$6/Inputs!$B$18),2))</f>
        <v/>
      </c>
      <c r="I335" s="25" t="str">
        <f t="shared" si="51"/>
        <v/>
      </c>
      <c r="J335" s="25" t="str">
        <f>IF($E335="","",IF($F335+$G335&gt;0,Inputs!$B$11,0))</f>
        <v/>
      </c>
      <c r="K335" s="25" t="str">
        <f t="shared" si="52"/>
        <v/>
      </c>
      <c r="L335" s="25" t="str">
        <f t="shared" si="53"/>
        <v/>
      </c>
      <c r="M335" s="25" t="str">
        <f t="shared" si="54"/>
        <v/>
      </c>
      <c r="N335" s="84" t="str">
        <f t="shared" si="55"/>
        <v/>
      </c>
      <c r="O335" s="23" t="str">
        <f t="shared" si="56"/>
        <v/>
      </c>
    </row>
    <row r="336" spans="1:15" ht="20" customHeight="1">
      <c r="A336" s="22" t="str">
        <f t="shared" si="50"/>
        <v/>
      </c>
      <c r="B336" s="23" t="str">
        <f>IF($E336="","",330)</f>
        <v/>
      </c>
      <c r="C336" s="24" t="str">
        <f t="shared" si="57"/>
        <v/>
      </c>
      <c r="D336" s="23" t="str">
        <f t="shared" si="58"/>
        <v/>
      </c>
      <c r="E336" s="25" t="str">
        <f t="shared" si="59"/>
        <v/>
      </c>
      <c r="F336" s="25" t="str">
        <f>IF($E336="","",ROUND(MIN(Comparison!$B$5,MAX(0,$E336+$H336)),2))</f>
        <v/>
      </c>
      <c r="G336" s="25" t="str">
        <f>IF($E336="","",ROUND(MIN(Inputs!$B$10,MAX(0,$E336+$H336-$F336)),2))</f>
        <v/>
      </c>
      <c r="H336" s="25" t="str">
        <f>IF($E336="","",ROUND(IF(Inputs!$B$12="Daily Simple Interest",$E336*Inputs!$B$6/Inputs!$B$17*$D336,$E336*Inputs!$B$6/Inputs!$B$18),2))</f>
        <v/>
      </c>
      <c r="I336" s="25" t="str">
        <f t="shared" si="51"/>
        <v/>
      </c>
      <c r="J336" s="25" t="str">
        <f>IF($E336="","",IF($F336+$G336&gt;0,Inputs!$B$11,0))</f>
        <v/>
      </c>
      <c r="K336" s="25" t="str">
        <f t="shared" si="52"/>
        <v/>
      </c>
      <c r="L336" s="25" t="str">
        <f t="shared" si="53"/>
        <v/>
      </c>
      <c r="M336" s="25" t="str">
        <f t="shared" si="54"/>
        <v/>
      </c>
      <c r="N336" s="84" t="str">
        <f t="shared" si="55"/>
        <v/>
      </c>
      <c r="O336" s="23" t="str">
        <f t="shared" si="56"/>
        <v/>
      </c>
    </row>
    <row r="337" spans="1:15" ht="20" customHeight="1">
      <c r="A337" s="22" t="str">
        <f t="shared" si="50"/>
        <v/>
      </c>
      <c r="B337" s="23" t="str">
        <f>IF($E337="","",331)</f>
        <v/>
      </c>
      <c r="C337" s="24" t="str">
        <f t="shared" si="57"/>
        <v/>
      </c>
      <c r="D337" s="23" t="str">
        <f t="shared" si="58"/>
        <v/>
      </c>
      <c r="E337" s="25" t="str">
        <f t="shared" si="59"/>
        <v/>
      </c>
      <c r="F337" s="25" t="str">
        <f>IF($E337="","",ROUND(MIN(Comparison!$B$5,MAX(0,$E337+$H337)),2))</f>
        <v/>
      </c>
      <c r="G337" s="25" t="str">
        <f>IF($E337="","",ROUND(MIN(Inputs!$B$10,MAX(0,$E337+$H337-$F337)),2))</f>
        <v/>
      </c>
      <c r="H337" s="25" t="str">
        <f>IF($E337="","",ROUND(IF(Inputs!$B$12="Daily Simple Interest",$E337*Inputs!$B$6/Inputs!$B$17*$D337,$E337*Inputs!$B$6/Inputs!$B$18),2))</f>
        <v/>
      </c>
      <c r="I337" s="25" t="str">
        <f t="shared" si="51"/>
        <v/>
      </c>
      <c r="J337" s="25" t="str">
        <f>IF($E337="","",IF($F337+$G337&gt;0,Inputs!$B$11,0))</f>
        <v/>
      </c>
      <c r="K337" s="25" t="str">
        <f t="shared" si="52"/>
        <v/>
      </c>
      <c r="L337" s="25" t="str">
        <f t="shared" si="53"/>
        <v/>
      </c>
      <c r="M337" s="25" t="str">
        <f t="shared" si="54"/>
        <v/>
      </c>
      <c r="N337" s="84" t="str">
        <f t="shared" si="55"/>
        <v/>
      </c>
      <c r="O337" s="23" t="str">
        <f t="shared" si="56"/>
        <v/>
      </c>
    </row>
    <row r="338" spans="1:15" ht="20" customHeight="1">
      <c r="A338" s="22" t="str">
        <f t="shared" si="50"/>
        <v/>
      </c>
      <c r="B338" s="23" t="str">
        <f>IF($E338="","",332)</f>
        <v/>
      </c>
      <c r="C338" s="24" t="str">
        <f t="shared" si="57"/>
        <v/>
      </c>
      <c r="D338" s="23" t="str">
        <f t="shared" si="58"/>
        <v/>
      </c>
      <c r="E338" s="25" t="str">
        <f t="shared" si="59"/>
        <v/>
      </c>
      <c r="F338" s="25" t="str">
        <f>IF($E338="","",ROUND(MIN(Comparison!$B$5,MAX(0,$E338+$H338)),2))</f>
        <v/>
      </c>
      <c r="G338" s="25" t="str">
        <f>IF($E338="","",ROUND(MIN(Inputs!$B$10,MAX(0,$E338+$H338-$F338)),2))</f>
        <v/>
      </c>
      <c r="H338" s="25" t="str">
        <f>IF($E338="","",ROUND(IF(Inputs!$B$12="Daily Simple Interest",$E338*Inputs!$B$6/Inputs!$B$17*$D338,$E338*Inputs!$B$6/Inputs!$B$18),2))</f>
        <v/>
      </c>
      <c r="I338" s="25" t="str">
        <f t="shared" si="51"/>
        <v/>
      </c>
      <c r="J338" s="25" t="str">
        <f>IF($E338="","",IF($F338+$G338&gt;0,Inputs!$B$11,0))</f>
        <v/>
      </c>
      <c r="K338" s="25" t="str">
        <f t="shared" si="52"/>
        <v/>
      </c>
      <c r="L338" s="25" t="str">
        <f t="shared" si="53"/>
        <v/>
      </c>
      <c r="M338" s="25" t="str">
        <f t="shared" si="54"/>
        <v/>
      </c>
      <c r="N338" s="84" t="str">
        <f t="shared" si="55"/>
        <v/>
      </c>
      <c r="O338" s="23" t="str">
        <f t="shared" si="56"/>
        <v/>
      </c>
    </row>
    <row r="339" spans="1:15" ht="20" customHeight="1">
      <c r="A339" s="22" t="str">
        <f t="shared" si="50"/>
        <v/>
      </c>
      <c r="B339" s="23" t="str">
        <f>IF($E339="","",333)</f>
        <v/>
      </c>
      <c r="C339" s="24" t="str">
        <f t="shared" si="57"/>
        <v/>
      </c>
      <c r="D339" s="23" t="str">
        <f t="shared" si="58"/>
        <v/>
      </c>
      <c r="E339" s="25" t="str">
        <f t="shared" si="59"/>
        <v/>
      </c>
      <c r="F339" s="25" t="str">
        <f>IF($E339="","",ROUND(MIN(Comparison!$B$5,MAX(0,$E339+$H339)),2))</f>
        <v/>
      </c>
      <c r="G339" s="25" t="str">
        <f>IF($E339="","",ROUND(MIN(Inputs!$B$10,MAX(0,$E339+$H339-$F339)),2))</f>
        <v/>
      </c>
      <c r="H339" s="25" t="str">
        <f>IF($E339="","",ROUND(IF(Inputs!$B$12="Daily Simple Interest",$E339*Inputs!$B$6/Inputs!$B$17*$D339,$E339*Inputs!$B$6/Inputs!$B$18),2))</f>
        <v/>
      </c>
      <c r="I339" s="25" t="str">
        <f t="shared" si="51"/>
        <v/>
      </c>
      <c r="J339" s="25" t="str">
        <f>IF($E339="","",IF($F339+$G339&gt;0,Inputs!$B$11,0))</f>
        <v/>
      </c>
      <c r="K339" s="25" t="str">
        <f t="shared" si="52"/>
        <v/>
      </c>
      <c r="L339" s="25" t="str">
        <f t="shared" si="53"/>
        <v/>
      </c>
      <c r="M339" s="25" t="str">
        <f t="shared" si="54"/>
        <v/>
      </c>
      <c r="N339" s="84" t="str">
        <f t="shared" si="55"/>
        <v/>
      </c>
      <c r="O339" s="23" t="str">
        <f t="shared" si="56"/>
        <v/>
      </c>
    </row>
    <row r="340" spans="1:15" ht="20" customHeight="1">
      <c r="A340" s="22" t="str">
        <f t="shared" si="50"/>
        <v/>
      </c>
      <c r="B340" s="23" t="str">
        <f>IF($E340="","",334)</f>
        <v/>
      </c>
      <c r="C340" s="24" t="str">
        <f t="shared" si="57"/>
        <v/>
      </c>
      <c r="D340" s="23" t="str">
        <f t="shared" si="58"/>
        <v/>
      </c>
      <c r="E340" s="25" t="str">
        <f t="shared" si="59"/>
        <v/>
      </c>
      <c r="F340" s="25" t="str">
        <f>IF($E340="","",ROUND(MIN(Comparison!$B$5,MAX(0,$E340+$H340)),2))</f>
        <v/>
      </c>
      <c r="G340" s="25" t="str">
        <f>IF($E340="","",ROUND(MIN(Inputs!$B$10,MAX(0,$E340+$H340-$F340)),2))</f>
        <v/>
      </c>
      <c r="H340" s="25" t="str">
        <f>IF($E340="","",ROUND(IF(Inputs!$B$12="Daily Simple Interest",$E340*Inputs!$B$6/Inputs!$B$17*$D340,$E340*Inputs!$B$6/Inputs!$B$18),2))</f>
        <v/>
      </c>
      <c r="I340" s="25" t="str">
        <f t="shared" si="51"/>
        <v/>
      </c>
      <c r="J340" s="25" t="str">
        <f>IF($E340="","",IF($F340+$G340&gt;0,Inputs!$B$11,0))</f>
        <v/>
      </c>
      <c r="K340" s="25" t="str">
        <f t="shared" si="52"/>
        <v/>
      </c>
      <c r="L340" s="25" t="str">
        <f t="shared" si="53"/>
        <v/>
      </c>
      <c r="M340" s="25" t="str">
        <f t="shared" si="54"/>
        <v/>
      </c>
      <c r="N340" s="84" t="str">
        <f t="shared" si="55"/>
        <v/>
      </c>
      <c r="O340" s="23" t="str">
        <f t="shared" si="56"/>
        <v/>
      </c>
    </row>
    <row r="341" spans="1:15" ht="20" customHeight="1">
      <c r="A341" s="22" t="str">
        <f t="shared" si="50"/>
        <v/>
      </c>
      <c r="B341" s="23" t="str">
        <f>IF($E341="","",335)</f>
        <v/>
      </c>
      <c r="C341" s="24" t="str">
        <f t="shared" si="57"/>
        <v/>
      </c>
      <c r="D341" s="23" t="str">
        <f t="shared" si="58"/>
        <v/>
      </c>
      <c r="E341" s="25" t="str">
        <f t="shared" si="59"/>
        <v/>
      </c>
      <c r="F341" s="25" t="str">
        <f>IF($E341="","",ROUND(MIN(Comparison!$B$5,MAX(0,$E341+$H341)),2))</f>
        <v/>
      </c>
      <c r="G341" s="25" t="str">
        <f>IF($E341="","",ROUND(MIN(Inputs!$B$10,MAX(0,$E341+$H341-$F341)),2))</f>
        <v/>
      </c>
      <c r="H341" s="25" t="str">
        <f>IF($E341="","",ROUND(IF(Inputs!$B$12="Daily Simple Interest",$E341*Inputs!$B$6/Inputs!$B$17*$D341,$E341*Inputs!$B$6/Inputs!$B$18),2))</f>
        <v/>
      </c>
      <c r="I341" s="25" t="str">
        <f t="shared" si="51"/>
        <v/>
      </c>
      <c r="J341" s="25" t="str">
        <f>IF($E341="","",IF($F341+$G341&gt;0,Inputs!$B$11,0))</f>
        <v/>
      </c>
      <c r="K341" s="25" t="str">
        <f t="shared" si="52"/>
        <v/>
      </c>
      <c r="L341" s="25" t="str">
        <f t="shared" si="53"/>
        <v/>
      </c>
      <c r="M341" s="25" t="str">
        <f t="shared" si="54"/>
        <v/>
      </c>
      <c r="N341" s="84" t="str">
        <f t="shared" si="55"/>
        <v/>
      </c>
      <c r="O341" s="23" t="str">
        <f t="shared" si="56"/>
        <v/>
      </c>
    </row>
    <row r="342" spans="1:15" ht="20" customHeight="1">
      <c r="A342" s="22" t="str">
        <f t="shared" si="50"/>
        <v/>
      </c>
      <c r="B342" s="23" t="str">
        <f>IF($E342="","",336)</f>
        <v/>
      </c>
      <c r="C342" s="24" t="str">
        <f t="shared" si="57"/>
        <v/>
      </c>
      <c r="D342" s="23" t="str">
        <f t="shared" si="58"/>
        <v/>
      </c>
      <c r="E342" s="25" t="str">
        <f t="shared" si="59"/>
        <v/>
      </c>
      <c r="F342" s="25" t="str">
        <f>IF($E342="","",ROUND(MIN(Comparison!$B$5,MAX(0,$E342+$H342)),2))</f>
        <v/>
      </c>
      <c r="G342" s="25" t="str">
        <f>IF($E342="","",ROUND(MIN(Inputs!$B$10,MAX(0,$E342+$H342-$F342)),2))</f>
        <v/>
      </c>
      <c r="H342" s="25" t="str">
        <f>IF($E342="","",ROUND(IF(Inputs!$B$12="Daily Simple Interest",$E342*Inputs!$B$6/Inputs!$B$17*$D342,$E342*Inputs!$B$6/Inputs!$B$18),2))</f>
        <v/>
      </c>
      <c r="I342" s="25" t="str">
        <f t="shared" si="51"/>
        <v/>
      </c>
      <c r="J342" s="25" t="str">
        <f>IF($E342="","",IF($F342+$G342&gt;0,Inputs!$B$11,0))</f>
        <v/>
      </c>
      <c r="K342" s="25" t="str">
        <f t="shared" si="52"/>
        <v/>
      </c>
      <c r="L342" s="25" t="str">
        <f t="shared" si="53"/>
        <v/>
      </c>
      <c r="M342" s="25" t="str">
        <f t="shared" si="54"/>
        <v/>
      </c>
      <c r="N342" s="84" t="str">
        <f t="shared" si="55"/>
        <v/>
      </c>
      <c r="O342" s="23" t="str">
        <f t="shared" si="56"/>
        <v/>
      </c>
    </row>
    <row r="343" spans="1:15" ht="20" customHeight="1">
      <c r="A343" s="22" t="str">
        <f t="shared" si="50"/>
        <v/>
      </c>
      <c r="B343" s="23" t="str">
        <f>IF($E343="","",337)</f>
        <v/>
      </c>
      <c r="C343" s="24" t="str">
        <f t="shared" si="57"/>
        <v/>
      </c>
      <c r="D343" s="23" t="str">
        <f t="shared" si="58"/>
        <v/>
      </c>
      <c r="E343" s="25" t="str">
        <f t="shared" si="59"/>
        <v/>
      </c>
      <c r="F343" s="25" t="str">
        <f>IF($E343="","",ROUND(MIN(Comparison!$B$5,MAX(0,$E343+$H343)),2))</f>
        <v/>
      </c>
      <c r="G343" s="25" t="str">
        <f>IF($E343="","",ROUND(MIN(Inputs!$B$10,MAX(0,$E343+$H343-$F343)),2))</f>
        <v/>
      </c>
      <c r="H343" s="25" t="str">
        <f>IF($E343="","",ROUND(IF(Inputs!$B$12="Daily Simple Interest",$E343*Inputs!$B$6/Inputs!$B$17*$D343,$E343*Inputs!$B$6/Inputs!$B$18),2))</f>
        <v/>
      </c>
      <c r="I343" s="25" t="str">
        <f t="shared" si="51"/>
        <v/>
      </c>
      <c r="J343" s="25" t="str">
        <f>IF($E343="","",IF($F343+$G343&gt;0,Inputs!$B$11,0))</f>
        <v/>
      </c>
      <c r="K343" s="25" t="str">
        <f t="shared" si="52"/>
        <v/>
      </c>
      <c r="L343" s="25" t="str">
        <f t="shared" si="53"/>
        <v/>
      </c>
      <c r="M343" s="25" t="str">
        <f t="shared" si="54"/>
        <v/>
      </c>
      <c r="N343" s="84" t="str">
        <f t="shared" si="55"/>
        <v/>
      </c>
      <c r="O343" s="23" t="str">
        <f t="shared" si="56"/>
        <v/>
      </c>
    </row>
    <row r="344" spans="1:15" ht="20" customHeight="1">
      <c r="A344" s="22" t="str">
        <f t="shared" si="50"/>
        <v/>
      </c>
      <c r="B344" s="23" t="str">
        <f>IF($E344="","",338)</f>
        <v/>
      </c>
      <c r="C344" s="24" t="str">
        <f t="shared" si="57"/>
        <v/>
      </c>
      <c r="D344" s="23" t="str">
        <f t="shared" si="58"/>
        <v/>
      </c>
      <c r="E344" s="25" t="str">
        <f t="shared" si="59"/>
        <v/>
      </c>
      <c r="F344" s="25" t="str">
        <f>IF($E344="","",ROUND(MIN(Comparison!$B$5,MAX(0,$E344+$H344)),2))</f>
        <v/>
      </c>
      <c r="G344" s="25" t="str">
        <f>IF($E344="","",ROUND(MIN(Inputs!$B$10,MAX(0,$E344+$H344-$F344)),2))</f>
        <v/>
      </c>
      <c r="H344" s="25" t="str">
        <f>IF($E344="","",ROUND(IF(Inputs!$B$12="Daily Simple Interest",$E344*Inputs!$B$6/Inputs!$B$17*$D344,$E344*Inputs!$B$6/Inputs!$B$18),2))</f>
        <v/>
      </c>
      <c r="I344" s="25" t="str">
        <f t="shared" si="51"/>
        <v/>
      </c>
      <c r="J344" s="25" t="str">
        <f>IF($E344="","",IF($F344+$G344&gt;0,Inputs!$B$11,0))</f>
        <v/>
      </c>
      <c r="K344" s="25" t="str">
        <f t="shared" si="52"/>
        <v/>
      </c>
      <c r="L344" s="25" t="str">
        <f t="shared" si="53"/>
        <v/>
      </c>
      <c r="M344" s="25" t="str">
        <f t="shared" si="54"/>
        <v/>
      </c>
      <c r="N344" s="84" t="str">
        <f t="shared" si="55"/>
        <v/>
      </c>
      <c r="O344" s="23" t="str">
        <f t="shared" si="56"/>
        <v/>
      </c>
    </row>
    <row r="345" spans="1:15" ht="20" customHeight="1">
      <c r="A345" s="22" t="str">
        <f t="shared" si="50"/>
        <v/>
      </c>
      <c r="B345" s="23" t="str">
        <f>IF($E345="","",339)</f>
        <v/>
      </c>
      <c r="C345" s="24" t="str">
        <f t="shared" si="57"/>
        <v/>
      </c>
      <c r="D345" s="23" t="str">
        <f t="shared" si="58"/>
        <v/>
      </c>
      <c r="E345" s="25" t="str">
        <f t="shared" si="59"/>
        <v/>
      </c>
      <c r="F345" s="25" t="str">
        <f>IF($E345="","",ROUND(MIN(Comparison!$B$5,MAX(0,$E345+$H345)),2))</f>
        <v/>
      </c>
      <c r="G345" s="25" t="str">
        <f>IF($E345="","",ROUND(MIN(Inputs!$B$10,MAX(0,$E345+$H345-$F345)),2))</f>
        <v/>
      </c>
      <c r="H345" s="25" t="str">
        <f>IF($E345="","",ROUND(IF(Inputs!$B$12="Daily Simple Interest",$E345*Inputs!$B$6/Inputs!$B$17*$D345,$E345*Inputs!$B$6/Inputs!$B$18),2))</f>
        <v/>
      </c>
      <c r="I345" s="25" t="str">
        <f t="shared" si="51"/>
        <v/>
      </c>
      <c r="J345" s="25" t="str">
        <f>IF($E345="","",IF($F345+$G345&gt;0,Inputs!$B$11,0))</f>
        <v/>
      </c>
      <c r="K345" s="25" t="str">
        <f t="shared" si="52"/>
        <v/>
      </c>
      <c r="L345" s="25" t="str">
        <f t="shared" si="53"/>
        <v/>
      </c>
      <c r="M345" s="25" t="str">
        <f t="shared" si="54"/>
        <v/>
      </c>
      <c r="N345" s="84" t="str">
        <f t="shared" si="55"/>
        <v/>
      </c>
      <c r="O345" s="23" t="str">
        <f t="shared" si="56"/>
        <v/>
      </c>
    </row>
    <row r="346" spans="1:15" ht="20" customHeight="1">
      <c r="A346" s="22" t="str">
        <f t="shared" si="50"/>
        <v/>
      </c>
      <c r="B346" s="23" t="str">
        <f>IF($E346="","",340)</f>
        <v/>
      </c>
      <c r="C346" s="24" t="str">
        <f t="shared" si="57"/>
        <v/>
      </c>
      <c r="D346" s="23" t="str">
        <f t="shared" si="58"/>
        <v/>
      </c>
      <c r="E346" s="25" t="str">
        <f t="shared" si="59"/>
        <v/>
      </c>
      <c r="F346" s="25" t="str">
        <f>IF($E346="","",ROUND(MIN(Comparison!$B$5,MAX(0,$E346+$H346)),2))</f>
        <v/>
      </c>
      <c r="G346" s="25" t="str">
        <f>IF($E346="","",ROUND(MIN(Inputs!$B$10,MAX(0,$E346+$H346-$F346)),2))</f>
        <v/>
      </c>
      <c r="H346" s="25" t="str">
        <f>IF($E346="","",ROUND(IF(Inputs!$B$12="Daily Simple Interest",$E346*Inputs!$B$6/Inputs!$B$17*$D346,$E346*Inputs!$B$6/Inputs!$B$18),2))</f>
        <v/>
      </c>
      <c r="I346" s="25" t="str">
        <f t="shared" si="51"/>
        <v/>
      </c>
      <c r="J346" s="25" t="str">
        <f>IF($E346="","",IF($F346+$G346&gt;0,Inputs!$B$11,0))</f>
        <v/>
      </c>
      <c r="K346" s="25" t="str">
        <f t="shared" si="52"/>
        <v/>
      </c>
      <c r="L346" s="25" t="str">
        <f t="shared" si="53"/>
        <v/>
      </c>
      <c r="M346" s="25" t="str">
        <f t="shared" si="54"/>
        <v/>
      </c>
      <c r="N346" s="84" t="str">
        <f t="shared" si="55"/>
        <v/>
      </c>
      <c r="O346" s="23" t="str">
        <f t="shared" si="56"/>
        <v/>
      </c>
    </row>
    <row r="347" spans="1:15" ht="20" customHeight="1">
      <c r="A347" s="30" t="str">
        <f t="shared" ref="A347:A410" si="60">IF($E347="","","Twice Monthly")</f>
        <v>Twice Monthly</v>
      </c>
      <c r="B347" s="31">
        <f>IF($E347="","",1)</f>
        <v>1</v>
      </c>
      <c r="C347" s="32">
        <f>Inputs!$B$9</f>
        <v>46292</v>
      </c>
      <c r="D347" s="31">
        <f>IF($E347="","",$C347-Inputs!$B$8)</f>
        <v>31</v>
      </c>
      <c r="E347" s="33">
        <f>Inputs!$B$5</f>
        <v>35000</v>
      </c>
      <c r="F347" s="33">
        <f>IF($E347="","",ROUND(MIN(Comparison!$C$5,MAX(0,$E347+$H347)),2))</f>
        <v>493.81</v>
      </c>
      <c r="G347" s="33">
        <f>IF($E347="","",ROUND(MIN(Inputs!$B$10,MAX(0,$E347+$H347-$F347)),2))</f>
        <v>0</v>
      </c>
      <c r="H347" s="33">
        <f>IF($E347="","",ROUND(IF(Inputs!$B$12="Daily Simple Interest",$E347*Inputs!$B$6/Inputs!$B$17*$D347,$E347*Inputs!$B$6/Inputs!$B$19),2))</f>
        <v>215.51</v>
      </c>
      <c r="I347" s="33">
        <f t="shared" si="51"/>
        <v>278.3</v>
      </c>
      <c r="J347" s="33">
        <f>IF($E347="","",IF($F347+$G347&gt;0,Inputs!$B$11,0))</f>
        <v>0</v>
      </c>
      <c r="K347" s="33">
        <f t="shared" si="52"/>
        <v>34721.699999999997</v>
      </c>
      <c r="L347" s="33">
        <f t="shared" si="53"/>
        <v>493.81</v>
      </c>
      <c r="M347" s="33">
        <f t="shared" si="54"/>
        <v>0</v>
      </c>
      <c r="N347" s="83" t="str">
        <f t="shared" si="55"/>
        <v>ACTIVE</v>
      </c>
      <c r="O347" s="31">
        <f t="shared" si="56"/>
        <v>1</v>
      </c>
    </row>
    <row r="348" spans="1:15" ht="20" customHeight="1">
      <c r="A348" s="22" t="str">
        <f t="shared" si="60"/>
        <v>Twice Monthly</v>
      </c>
      <c r="B348" s="23">
        <f>IF($E348="","",2)</f>
        <v>2</v>
      </c>
      <c r="C348" s="24">
        <f>IF($E348="","",EDATE(Inputs!$B$9,INT(1/2))+IF(MOD(1,2)=0,0,Inputs!$B$22))</f>
        <v>46307</v>
      </c>
      <c r="D348" s="23">
        <f t="shared" ref="D348:D411" si="61">IF($E348="","",$C348-$C347)</f>
        <v>15</v>
      </c>
      <c r="E348" s="25">
        <f t="shared" ref="E348:E411" si="62">IF($K347&gt;0.005,$K347,"")</f>
        <v>34721.699999999997</v>
      </c>
      <c r="F348" s="25">
        <f>IF($E348="","",ROUND(MIN(Comparison!$C$5,MAX(0,$E348+$H348)),2))</f>
        <v>493.81</v>
      </c>
      <c r="G348" s="25">
        <f>IF($E348="","",ROUND(MIN(Inputs!$B$10,MAX(0,$E348+$H348-$F348)),2))</f>
        <v>0</v>
      </c>
      <c r="H348" s="25">
        <f>IF($E348="","",ROUND(IF(Inputs!$B$12="Daily Simple Interest",$E348*Inputs!$B$6/Inputs!$B$17*$D348,$E348*Inputs!$B$6/Inputs!$B$19),2))</f>
        <v>103.45</v>
      </c>
      <c r="I348" s="25">
        <f t="shared" si="51"/>
        <v>390.36</v>
      </c>
      <c r="J348" s="25">
        <f>IF($E348="","",IF($F348+$G348&gt;0,Inputs!$B$11,0))</f>
        <v>0</v>
      </c>
      <c r="K348" s="25">
        <f t="shared" si="52"/>
        <v>34331.339999999997</v>
      </c>
      <c r="L348" s="25">
        <f t="shared" si="53"/>
        <v>493.81</v>
      </c>
      <c r="M348" s="25">
        <f t="shared" si="54"/>
        <v>0</v>
      </c>
      <c r="N348" s="84" t="str">
        <f t="shared" si="55"/>
        <v>ACTIVE</v>
      </c>
      <c r="O348" s="23">
        <f t="shared" si="56"/>
        <v>1</v>
      </c>
    </row>
    <row r="349" spans="1:15" ht="20" customHeight="1">
      <c r="A349" s="22" t="str">
        <f t="shared" si="60"/>
        <v>Twice Monthly</v>
      </c>
      <c r="B349" s="23">
        <f>IF($E349="","",3)</f>
        <v>3</v>
      </c>
      <c r="C349" s="24">
        <f>IF($E349="","",EDATE(Inputs!$B$9,INT(2/2))+IF(MOD(2,2)=0,0,Inputs!$B$22))</f>
        <v>46322</v>
      </c>
      <c r="D349" s="23">
        <f t="shared" si="61"/>
        <v>15</v>
      </c>
      <c r="E349" s="25">
        <f t="shared" si="62"/>
        <v>34331.339999999997</v>
      </c>
      <c r="F349" s="25">
        <f>IF($E349="","",ROUND(MIN(Comparison!$C$5,MAX(0,$E349+$H349)),2))</f>
        <v>493.81</v>
      </c>
      <c r="G349" s="25">
        <f>IF($E349="","",ROUND(MIN(Inputs!$B$10,MAX(0,$E349+$H349-$F349)),2))</f>
        <v>0</v>
      </c>
      <c r="H349" s="25">
        <f>IF($E349="","",ROUND(IF(Inputs!$B$12="Daily Simple Interest",$E349*Inputs!$B$6/Inputs!$B$17*$D349,$E349*Inputs!$B$6/Inputs!$B$19),2))</f>
        <v>102.29</v>
      </c>
      <c r="I349" s="25">
        <f t="shared" si="51"/>
        <v>391.52</v>
      </c>
      <c r="J349" s="25">
        <f>IF($E349="","",IF($F349+$G349&gt;0,Inputs!$B$11,0))</f>
        <v>0</v>
      </c>
      <c r="K349" s="25">
        <f t="shared" si="52"/>
        <v>33939.82</v>
      </c>
      <c r="L349" s="25">
        <f t="shared" si="53"/>
        <v>493.81</v>
      </c>
      <c r="M349" s="25">
        <f t="shared" si="54"/>
        <v>0</v>
      </c>
      <c r="N349" s="84" t="str">
        <f t="shared" si="55"/>
        <v>ACTIVE</v>
      </c>
      <c r="O349" s="23">
        <f t="shared" si="56"/>
        <v>1</v>
      </c>
    </row>
    <row r="350" spans="1:15" ht="20" customHeight="1">
      <c r="A350" s="22" t="str">
        <f t="shared" si="60"/>
        <v>Twice Monthly</v>
      </c>
      <c r="B350" s="23">
        <f>IF($E350="","",4)</f>
        <v>4</v>
      </c>
      <c r="C350" s="24">
        <f>IF($E350="","",EDATE(Inputs!$B$9,INT(3/2))+IF(MOD(3,2)=0,0,Inputs!$B$22))</f>
        <v>46337</v>
      </c>
      <c r="D350" s="23">
        <f t="shared" si="61"/>
        <v>15</v>
      </c>
      <c r="E350" s="25">
        <f t="shared" si="62"/>
        <v>33939.82</v>
      </c>
      <c r="F350" s="25">
        <f>IF($E350="","",ROUND(MIN(Comparison!$C$5,MAX(0,$E350+$H350)),2))</f>
        <v>493.81</v>
      </c>
      <c r="G350" s="25">
        <f>IF($E350="","",ROUND(MIN(Inputs!$B$10,MAX(0,$E350+$H350-$F350)),2))</f>
        <v>0</v>
      </c>
      <c r="H350" s="25">
        <f>IF($E350="","",ROUND(IF(Inputs!$B$12="Daily Simple Interest",$E350*Inputs!$B$6/Inputs!$B$17*$D350,$E350*Inputs!$B$6/Inputs!$B$19),2))</f>
        <v>101.12</v>
      </c>
      <c r="I350" s="25">
        <f t="shared" si="51"/>
        <v>392.69</v>
      </c>
      <c r="J350" s="25">
        <f>IF($E350="","",IF($F350+$G350&gt;0,Inputs!$B$11,0))</f>
        <v>0</v>
      </c>
      <c r="K350" s="25">
        <f t="shared" si="52"/>
        <v>33547.129999999997</v>
      </c>
      <c r="L350" s="25">
        <f t="shared" si="53"/>
        <v>493.81</v>
      </c>
      <c r="M350" s="25">
        <f t="shared" si="54"/>
        <v>0</v>
      </c>
      <c r="N350" s="84" t="str">
        <f t="shared" si="55"/>
        <v>ACTIVE</v>
      </c>
      <c r="O350" s="23">
        <f t="shared" si="56"/>
        <v>1</v>
      </c>
    </row>
    <row r="351" spans="1:15" ht="20" customHeight="1">
      <c r="A351" s="22" t="str">
        <f t="shared" si="60"/>
        <v>Twice Monthly</v>
      </c>
      <c r="B351" s="23">
        <f>IF($E351="","",5)</f>
        <v>5</v>
      </c>
      <c r="C351" s="24">
        <f>IF($E351="","",EDATE(Inputs!$B$9,INT(4/2))+IF(MOD(4,2)=0,0,Inputs!$B$22))</f>
        <v>46353</v>
      </c>
      <c r="D351" s="23">
        <f t="shared" si="61"/>
        <v>16</v>
      </c>
      <c r="E351" s="25">
        <f t="shared" si="62"/>
        <v>33547.129999999997</v>
      </c>
      <c r="F351" s="25">
        <f>IF($E351="","",ROUND(MIN(Comparison!$C$5,MAX(0,$E351+$H351)),2))</f>
        <v>493.81</v>
      </c>
      <c r="G351" s="25">
        <f>IF($E351="","",ROUND(MIN(Inputs!$B$10,MAX(0,$E351+$H351-$F351)),2))</f>
        <v>0</v>
      </c>
      <c r="H351" s="25">
        <f>IF($E351="","",ROUND(IF(Inputs!$B$12="Daily Simple Interest",$E351*Inputs!$B$6/Inputs!$B$17*$D351,$E351*Inputs!$B$6/Inputs!$B$19),2))</f>
        <v>106.62</v>
      </c>
      <c r="I351" s="25">
        <f t="shared" si="51"/>
        <v>387.19</v>
      </c>
      <c r="J351" s="25">
        <f>IF($E351="","",IF($F351+$G351&gt;0,Inputs!$B$11,0))</f>
        <v>0</v>
      </c>
      <c r="K351" s="25">
        <f t="shared" si="52"/>
        <v>33159.94</v>
      </c>
      <c r="L351" s="25">
        <f t="shared" si="53"/>
        <v>493.81</v>
      </c>
      <c r="M351" s="25">
        <f t="shared" si="54"/>
        <v>0</v>
      </c>
      <c r="N351" s="84" t="str">
        <f t="shared" si="55"/>
        <v>ACTIVE</v>
      </c>
      <c r="O351" s="23">
        <f t="shared" si="56"/>
        <v>1</v>
      </c>
    </row>
    <row r="352" spans="1:15" ht="20" customHeight="1">
      <c r="A352" s="22" t="str">
        <f t="shared" si="60"/>
        <v>Twice Monthly</v>
      </c>
      <c r="B352" s="23">
        <f>IF($E352="","",6)</f>
        <v>6</v>
      </c>
      <c r="C352" s="24">
        <f>IF($E352="","",EDATE(Inputs!$B$9,INT(5/2))+IF(MOD(5,2)=0,0,Inputs!$B$22))</f>
        <v>46368</v>
      </c>
      <c r="D352" s="23">
        <f t="shared" si="61"/>
        <v>15</v>
      </c>
      <c r="E352" s="25">
        <f t="shared" si="62"/>
        <v>33159.94</v>
      </c>
      <c r="F352" s="25">
        <f>IF($E352="","",ROUND(MIN(Comparison!$C$5,MAX(0,$E352+$H352)),2))</f>
        <v>493.81</v>
      </c>
      <c r="G352" s="25">
        <f>IF($E352="","",ROUND(MIN(Inputs!$B$10,MAX(0,$E352+$H352-$F352)),2))</f>
        <v>0</v>
      </c>
      <c r="H352" s="25">
        <f>IF($E352="","",ROUND(IF(Inputs!$B$12="Daily Simple Interest",$E352*Inputs!$B$6/Inputs!$B$17*$D352,$E352*Inputs!$B$6/Inputs!$B$19),2))</f>
        <v>98.8</v>
      </c>
      <c r="I352" s="25">
        <f t="shared" si="51"/>
        <v>395.01</v>
      </c>
      <c r="J352" s="25">
        <f>IF($E352="","",IF($F352+$G352&gt;0,Inputs!$B$11,0))</f>
        <v>0</v>
      </c>
      <c r="K352" s="25">
        <f t="shared" si="52"/>
        <v>32764.93</v>
      </c>
      <c r="L352" s="25">
        <f t="shared" si="53"/>
        <v>493.81</v>
      </c>
      <c r="M352" s="25">
        <f t="shared" si="54"/>
        <v>0</v>
      </c>
      <c r="N352" s="84" t="str">
        <f t="shared" si="55"/>
        <v>ACTIVE</v>
      </c>
      <c r="O352" s="23">
        <f t="shared" si="56"/>
        <v>1</v>
      </c>
    </row>
    <row r="353" spans="1:15" ht="20" customHeight="1">
      <c r="A353" s="22" t="str">
        <f t="shared" si="60"/>
        <v>Twice Monthly</v>
      </c>
      <c r="B353" s="23">
        <f>IF($E353="","",7)</f>
        <v>7</v>
      </c>
      <c r="C353" s="24">
        <f>IF($E353="","",EDATE(Inputs!$B$9,INT(6/2))+IF(MOD(6,2)=0,0,Inputs!$B$22))</f>
        <v>46383</v>
      </c>
      <c r="D353" s="23">
        <f t="shared" si="61"/>
        <v>15</v>
      </c>
      <c r="E353" s="25">
        <f t="shared" si="62"/>
        <v>32764.93</v>
      </c>
      <c r="F353" s="25">
        <f>IF($E353="","",ROUND(MIN(Comparison!$C$5,MAX(0,$E353+$H353)),2))</f>
        <v>493.81</v>
      </c>
      <c r="G353" s="25">
        <f>IF($E353="","",ROUND(MIN(Inputs!$B$10,MAX(0,$E353+$H353-$F353)),2))</f>
        <v>0</v>
      </c>
      <c r="H353" s="25">
        <f>IF($E353="","",ROUND(IF(Inputs!$B$12="Daily Simple Interest",$E353*Inputs!$B$6/Inputs!$B$17*$D353,$E353*Inputs!$B$6/Inputs!$B$19),2))</f>
        <v>97.62</v>
      </c>
      <c r="I353" s="25">
        <f t="shared" si="51"/>
        <v>396.19</v>
      </c>
      <c r="J353" s="25">
        <f>IF($E353="","",IF($F353+$G353&gt;0,Inputs!$B$11,0))</f>
        <v>0</v>
      </c>
      <c r="K353" s="25">
        <f t="shared" si="52"/>
        <v>32368.74</v>
      </c>
      <c r="L353" s="25">
        <f t="shared" si="53"/>
        <v>493.81</v>
      </c>
      <c r="M353" s="25">
        <f t="shared" si="54"/>
        <v>0</v>
      </c>
      <c r="N353" s="84" t="str">
        <f t="shared" si="55"/>
        <v>ACTIVE</v>
      </c>
      <c r="O353" s="23">
        <f t="shared" si="56"/>
        <v>1</v>
      </c>
    </row>
    <row r="354" spans="1:15" ht="20" customHeight="1">
      <c r="A354" s="22" t="str">
        <f t="shared" si="60"/>
        <v>Twice Monthly</v>
      </c>
      <c r="B354" s="23">
        <f>IF($E354="","",8)</f>
        <v>8</v>
      </c>
      <c r="C354" s="24">
        <f>IF($E354="","",EDATE(Inputs!$B$9,INT(7/2))+IF(MOD(7,2)=0,0,Inputs!$B$22))</f>
        <v>46398</v>
      </c>
      <c r="D354" s="23">
        <f t="shared" si="61"/>
        <v>15</v>
      </c>
      <c r="E354" s="25">
        <f t="shared" si="62"/>
        <v>32368.74</v>
      </c>
      <c r="F354" s="25">
        <f>IF($E354="","",ROUND(MIN(Comparison!$C$5,MAX(0,$E354+$H354)),2))</f>
        <v>493.81</v>
      </c>
      <c r="G354" s="25">
        <f>IF($E354="","",ROUND(MIN(Inputs!$B$10,MAX(0,$E354+$H354-$F354)),2))</f>
        <v>0</v>
      </c>
      <c r="H354" s="25">
        <f>IF($E354="","",ROUND(IF(Inputs!$B$12="Daily Simple Interest",$E354*Inputs!$B$6/Inputs!$B$17*$D354,$E354*Inputs!$B$6/Inputs!$B$19),2))</f>
        <v>96.44</v>
      </c>
      <c r="I354" s="25">
        <f t="shared" si="51"/>
        <v>397.37</v>
      </c>
      <c r="J354" s="25">
        <f>IF($E354="","",IF($F354+$G354&gt;0,Inputs!$B$11,0))</f>
        <v>0</v>
      </c>
      <c r="K354" s="25">
        <f t="shared" si="52"/>
        <v>31971.37</v>
      </c>
      <c r="L354" s="25">
        <f t="shared" si="53"/>
        <v>493.81</v>
      </c>
      <c r="M354" s="25">
        <f t="shared" si="54"/>
        <v>0</v>
      </c>
      <c r="N354" s="84" t="str">
        <f t="shared" si="55"/>
        <v>ACTIVE</v>
      </c>
      <c r="O354" s="23">
        <f t="shared" si="56"/>
        <v>1</v>
      </c>
    </row>
    <row r="355" spans="1:15" ht="20" customHeight="1">
      <c r="A355" s="22" t="str">
        <f t="shared" si="60"/>
        <v>Twice Monthly</v>
      </c>
      <c r="B355" s="23">
        <f>IF($E355="","",9)</f>
        <v>9</v>
      </c>
      <c r="C355" s="24">
        <f>IF($E355="","",EDATE(Inputs!$B$9,INT(8/2))+IF(MOD(8,2)=0,0,Inputs!$B$22))</f>
        <v>46414</v>
      </c>
      <c r="D355" s="23">
        <f t="shared" si="61"/>
        <v>16</v>
      </c>
      <c r="E355" s="25">
        <f t="shared" si="62"/>
        <v>31971.37</v>
      </c>
      <c r="F355" s="25">
        <f>IF($E355="","",ROUND(MIN(Comparison!$C$5,MAX(0,$E355+$H355)),2))</f>
        <v>493.81</v>
      </c>
      <c r="G355" s="25">
        <f>IF($E355="","",ROUND(MIN(Inputs!$B$10,MAX(0,$E355+$H355-$F355)),2))</f>
        <v>0</v>
      </c>
      <c r="H355" s="25">
        <f>IF($E355="","",ROUND(IF(Inputs!$B$12="Daily Simple Interest",$E355*Inputs!$B$6/Inputs!$B$17*$D355,$E355*Inputs!$B$6/Inputs!$B$19),2))</f>
        <v>101.61</v>
      </c>
      <c r="I355" s="25">
        <f t="shared" si="51"/>
        <v>392.2</v>
      </c>
      <c r="J355" s="25">
        <f>IF($E355="","",IF($F355+$G355&gt;0,Inputs!$B$11,0))</f>
        <v>0</v>
      </c>
      <c r="K355" s="25">
        <f t="shared" si="52"/>
        <v>31579.17</v>
      </c>
      <c r="L355" s="25">
        <f t="shared" si="53"/>
        <v>493.81</v>
      </c>
      <c r="M355" s="25">
        <f t="shared" si="54"/>
        <v>0</v>
      </c>
      <c r="N355" s="84" t="str">
        <f t="shared" si="55"/>
        <v>ACTIVE</v>
      </c>
      <c r="O355" s="23">
        <f t="shared" si="56"/>
        <v>1</v>
      </c>
    </row>
    <row r="356" spans="1:15" ht="20" customHeight="1">
      <c r="A356" s="22" t="str">
        <f t="shared" si="60"/>
        <v>Twice Monthly</v>
      </c>
      <c r="B356" s="23">
        <f>IF($E356="","",10)</f>
        <v>10</v>
      </c>
      <c r="C356" s="24">
        <f>IF($E356="","",EDATE(Inputs!$B$9,INT(9/2))+IF(MOD(9,2)=0,0,Inputs!$B$22))</f>
        <v>46429</v>
      </c>
      <c r="D356" s="23">
        <f t="shared" si="61"/>
        <v>15</v>
      </c>
      <c r="E356" s="25">
        <f t="shared" si="62"/>
        <v>31579.17</v>
      </c>
      <c r="F356" s="25">
        <f>IF($E356="","",ROUND(MIN(Comparison!$C$5,MAX(0,$E356+$H356)),2))</f>
        <v>493.81</v>
      </c>
      <c r="G356" s="25">
        <f>IF($E356="","",ROUND(MIN(Inputs!$B$10,MAX(0,$E356+$H356-$F356)),2))</f>
        <v>0</v>
      </c>
      <c r="H356" s="25">
        <f>IF($E356="","",ROUND(IF(Inputs!$B$12="Daily Simple Interest",$E356*Inputs!$B$6/Inputs!$B$17*$D356,$E356*Inputs!$B$6/Inputs!$B$19),2))</f>
        <v>94.09</v>
      </c>
      <c r="I356" s="25">
        <f t="shared" si="51"/>
        <v>399.72</v>
      </c>
      <c r="J356" s="25">
        <f>IF($E356="","",IF($F356+$G356&gt;0,Inputs!$B$11,0))</f>
        <v>0</v>
      </c>
      <c r="K356" s="25">
        <f t="shared" si="52"/>
        <v>31179.45</v>
      </c>
      <c r="L356" s="25">
        <f t="shared" si="53"/>
        <v>493.81</v>
      </c>
      <c r="M356" s="25">
        <f t="shared" si="54"/>
        <v>0</v>
      </c>
      <c r="N356" s="84" t="str">
        <f t="shared" si="55"/>
        <v>ACTIVE</v>
      </c>
      <c r="O356" s="23">
        <f t="shared" si="56"/>
        <v>1</v>
      </c>
    </row>
    <row r="357" spans="1:15" ht="20" customHeight="1">
      <c r="A357" s="22" t="str">
        <f t="shared" si="60"/>
        <v>Twice Monthly</v>
      </c>
      <c r="B357" s="23">
        <f>IF($E357="","",11)</f>
        <v>11</v>
      </c>
      <c r="C357" s="24">
        <f>IF($E357="","",EDATE(Inputs!$B$9,INT(10/2))+IF(MOD(10,2)=0,0,Inputs!$B$22))</f>
        <v>46445</v>
      </c>
      <c r="D357" s="23">
        <f t="shared" si="61"/>
        <v>16</v>
      </c>
      <c r="E357" s="25">
        <f t="shared" si="62"/>
        <v>31179.45</v>
      </c>
      <c r="F357" s="25">
        <f>IF($E357="","",ROUND(MIN(Comparison!$C$5,MAX(0,$E357+$H357)),2))</f>
        <v>493.81</v>
      </c>
      <c r="G357" s="25">
        <f>IF($E357="","",ROUND(MIN(Inputs!$B$10,MAX(0,$E357+$H357-$F357)),2))</f>
        <v>0</v>
      </c>
      <c r="H357" s="25">
        <f>IF($E357="","",ROUND(IF(Inputs!$B$12="Daily Simple Interest",$E357*Inputs!$B$6/Inputs!$B$17*$D357,$E357*Inputs!$B$6/Inputs!$B$19),2))</f>
        <v>99.09</v>
      </c>
      <c r="I357" s="25">
        <f t="shared" si="51"/>
        <v>394.72</v>
      </c>
      <c r="J357" s="25">
        <f>IF($E357="","",IF($F357+$G357&gt;0,Inputs!$B$11,0))</f>
        <v>0</v>
      </c>
      <c r="K357" s="25">
        <f t="shared" si="52"/>
        <v>30784.73</v>
      </c>
      <c r="L357" s="25">
        <f t="shared" si="53"/>
        <v>493.81</v>
      </c>
      <c r="M357" s="25">
        <f t="shared" si="54"/>
        <v>0</v>
      </c>
      <c r="N357" s="84" t="str">
        <f t="shared" si="55"/>
        <v>ACTIVE</v>
      </c>
      <c r="O357" s="23">
        <f t="shared" si="56"/>
        <v>1</v>
      </c>
    </row>
    <row r="358" spans="1:15" ht="20" customHeight="1">
      <c r="A358" s="22" t="str">
        <f t="shared" si="60"/>
        <v>Twice Monthly</v>
      </c>
      <c r="B358" s="23">
        <f>IF($E358="","",12)</f>
        <v>12</v>
      </c>
      <c r="C358" s="24">
        <f>IF($E358="","",EDATE(Inputs!$B$9,INT(11/2))+IF(MOD(11,2)=0,0,Inputs!$B$22))</f>
        <v>46460</v>
      </c>
      <c r="D358" s="23">
        <f t="shared" si="61"/>
        <v>15</v>
      </c>
      <c r="E358" s="25">
        <f t="shared" si="62"/>
        <v>30784.73</v>
      </c>
      <c r="F358" s="25">
        <f>IF($E358="","",ROUND(MIN(Comparison!$C$5,MAX(0,$E358+$H358)),2))</f>
        <v>493.81</v>
      </c>
      <c r="G358" s="25">
        <f>IF($E358="","",ROUND(MIN(Inputs!$B$10,MAX(0,$E358+$H358-$F358)),2))</f>
        <v>0</v>
      </c>
      <c r="H358" s="25">
        <f>IF($E358="","",ROUND(IF(Inputs!$B$12="Daily Simple Interest",$E358*Inputs!$B$6/Inputs!$B$17*$D358,$E358*Inputs!$B$6/Inputs!$B$19),2))</f>
        <v>91.72</v>
      </c>
      <c r="I358" s="25">
        <f t="shared" si="51"/>
        <v>402.09</v>
      </c>
      <c r="J358" s="25">
        <f>IF($E358="","",IF($F358+$G358&gt;0,Inputs!$B$11,0))</f>
        <v>0</v>
      </c>
      <c r="K358" s="25">
        <f t="shared" si="52"/>
        <v>30382.639999999999</v>
      </c>
      <c r="L358" s="25">
        <f t="shared" si="53"/>
        <v>493.81</v>
      </c>
      <c r="M358" s="25">
        <f t="shared" si="54"/>
        <v>0</v>
      </c>
      <c r="N358" s="84" t="str">
        <f t="shared" si="55"/>
        <v>ACTIVE</v>
      </c>
      <c r="O358" s="23">
        <f t="shared" si="56"/>
        <v>1</v>
      </c>
    </row>
    <row r="359" spans="1:15" ht="20" customHeight="1">
      <c r="A359" s="22" t="str">
        <f t="shared" si="60"/>
        <v>Twice Monthly</v>
      </c>
      <c r="B359" s="23">
        <f>IF($E359="","",13)</f>
        <v>13</v>
      </c>
      <c r="C359" s="24">
        <f>IF($E359="","",EDATE(Inputs!$B$9,INT(12/2))+IF(MOD(12,2)=0,0,Inputs!$B$22))</f>
        <v>46473</v>
      </c>
      <c r="D359" s="23">
        <f t="shared" si="61"/>
        <v>13</v>
      </c>
      <c r="E359" s="25">
        <f t="shared" si="62"/>
        <v>30382.639999999999</v>
      </c>
      <c r="F359" s="25">
        <f>IF($E359="","",ROUND(MIN(Comparison!$C$5,MAX(0,$E359+$H359)),2))</f>
        <v>493.81</v>
      </c>
      <c r="G359" s="25">
        <f>IF($E359="","",ROUND(MIN(Inputs!$B$10,MAX(0,$E359+$H359-$F359)),2))</f>
        <v>0</v>
      </c>
      <c r="H359" s="25">
        <f>IF($E359="","",ROUND(IF(Inputs!$B$12="Daily Simple Interest",$E359*Inputs!$B$6/Inputs!$B$17*$D359,$E359*Inputs!$B$6/Inputs!$B$19),2))</f>
        <v>78.45</v>
      </c>
      <c r="I359" s="25">
        <f t="shared" si="51"/>
        <v>415.36</v>
      </c>
      <c r="J359" s="25">
        <f>IF($E359="","",IF($F359+$G359&gt;0,Inputs!$B$11,0))</f>
        <v>0</v>
      </c>
      <c r="K359" s="25">
        <f t="shared" si="52"/>
        <v>29967.279999999999</v>
      </c>
      <c r="L359" s="25">
        <f t="shared" si="53"/>
        <v>493.81</v>
      </c>
      <c r="M359" s="25">
        <f t="shared" si="54"/>
        <v>0</v>
      </c>
      <c r="N359" s="84" t="str">
        <f t="shared" si="55"/>
        <v>ACTIVE</v>
      </c>
      <c r="O359" s="23">
        <f t="shared" si="56"/>
        <v>1</v>
      </c>
    </row>
    <row r="360" spans="1:15" ht="20" customHeight="1">
      <c r="A360" s="22" t="str">
        <f t="shared" si="60"/>
        <v>Twice Monthly</v>
      </c>
      <c r="B360" s="23">
        <f>IF($E360="","",14)</f>
        <v>14</v>
      </c>
      <c r="C360" s="24">
        <f>IF($E360="","",EDATE(Inputs!$B$9,INT(13/2))+IF(MOD(13,2)=0,0,Inputs!$B$22))</f>
        <v>46488</v>
      </c>
      <c r="D360" s="23">
        <f t="shared" si="61"/>
        <v>15</v>
      </c>
      <c r="E360" s="25">
        <f t="shared" si="62"/>
        <v>29967.279999999999</v>
      </c>
      <c r="F360" s="25">
        <f>IF($E360="","",ROUND(MIN(Comparison!$C$5,MAX(0,$E360+$H360)),2))</f>
        <v>493.81</v>
      </c>
      <c r="G360" s="25">
        <f>IF($E360="","",ROUND(MIN(Inputs!$B$10,MAX(0,$E360+$H360-$F360)),2))</f>
        <v>0</v>
      </c>
      <c r="H360" s="25">
        <f>IF($E360="","",ROUND(IF(Inputs!$B$12="Daily Simple Interest",$E360*Inputs!$B$6/Inputs!$B$17*$D360,$E360*Inputs!$B$6/Inputs!$B$19),2))</f>
        <v>89.29</v>
      </c>
      <c r="I360" s="25">
        <f t="shared" si="51"/>
        <v>404.52</v>
      </c>
      <c r="J360" s="25">
        <f>IF($E360="","",IF($F360+$G360&gt;0,Inputs!$B$11,0))</f>
        <v>0</v>
      </c>
      <c r="K360" s="25">
        <f t="shared" si="52"/>
        <v>29562.76</v>
      </c>
      <c r="L360" s="25">
        <f t="shared" si="53"/>
        <v>493.81</v>
      </c>
      <c r="M360" s="25">
        <f t="shared" si="54"/>
        <v>0</v>
      </c>
      <c r="N360" s="84" t="str">
        <f t="shared" si="55"/>
        <v>ACTIVE</v>
      </c>
      <c r="O360" s="23">
        <f t="shared" si="56"/>
        <v>1</v>
      </c>
    </row>
    <row r="361" spans="1:15" ht="20" customHeight="1">
      <c r="A361" s="22" t="str">
        <f t="shared" si="60"/>
        <v>Twice Monthly</v>
      </c>
      <c r="B361" s="23">
        <f>IF($E361="","",15)</f>
        <v>15</v>
      </c>
      <c r="C361" s="24">
        <f>IF($E361="","",EDATE(Inputs!$B$9,INT(14/2))+IF(MOD(14,2)=0,0,Inputs!$B$22))</f>
        <v>46504</v>
      </c>
      <c r="D361" s="23">
        <f t="shared" si="61"/>
        <v>16</v>
      </c>
      <c r="E361" s="25">
        <f t="shared" si="62"/>
        <v>29562.76</v>
      </c>
      <c r="F361" s="25">
        <f>IF($E361="","",ROUND(MIN(Comparison!$C$5,MAX(0,$E361+$H361)),2))</f>
        <v>493.81</v>
      </c>
      <c r="G361" s="25">
        <f>IF($E361="","",ROUND(MIN(Inputs!$B$10,MAX(0,$E361+$H361-$F361)),2))</f>
        <v>0</v>
      </c>
      <c r="H361" s="25">
        <f>IF($E361="","",ROUND(IF(Inputs!$B$12="Daily Simple Interest",$E361*Inputs!$B$6/Inputs!$B$17*$D361,$E361*Inputs!$B$6/Inputs!$B$19),2))</f>
        <v>93.95</v>
      </c>
      <c r="I361" s="25">
        <f t="shared" si="51"/>
        <v>399.86</v>
      </c>
      <c r="J361" s="25">
        <f>IF($E361="","",IF($F361+$G361&gt;0,Inputs!$B$11,0))</f>
        <v>0</v>
      </c>
      <c r="K361" s="25">
        <f t="shared" si="52"/>
        <v>29162.9</v>
      </c>
      <c r="L361" s="25">
        <f t="shared" si="53"/>
        <v>493.81</v>
      </c>
      <c r="M361" s="25">
        <f t="shared" si="54"/>
        <v>0</v>
      </c>
      <c r="N361" s="84" t="str">
        <f t="shared" si="55"/>
        <v>ACTIVE</v>
      </c>
      <c r="O361" s="23">
        <f t="shared" si="56"/>
        <v>1</v>
      </c>
    </row>
    <row r="362" spans="1:15" ht="20" customHeight="1">
      <c r="A362" s="22" t="str">
        <f t="shared" si="60"/>
        <v>Twice Monthly</v>
      </c>
      <c r="B362" s="23">
        <f>IF($E362="","",16)</f>
        <v>16</v>
      </c>
      <c r="C362" s="24">
        <f>IF($E362="","",EDATE(Inputs!$B$9,INT(15/2))+IF(MOD(15,2)=0,0,Inputs!$B$22))</f>
        <v>46519</v>
      </c>
      <c r="D362" s="23">
        <f t="shared" si="61"/>
        <v>15</v>
      </c>
      <c r="E362" s="25">
        <f t="shared" si="62"/>
        <v>29162.9</v>
      </c>
      <c r="F362" s="25">
        <f>IF($E362="","",ROUND(MIN(Comparison!$C$5,MAX(0,$E362+$H362)),2))</f>
        <v>493.81</v>
      </c>
      <c r="G362" s="25">
        <f>IF($E362="","",ROUND(MIN(Inputs!$B$10,MAX(0,$E362+$H362-$F362)),2))</f>
        <v>0</v>
      </c>
      <c r="H362" s="25">
        <f>IF($E362="","",ROUND(IF(Inputs!$B$12="Daily Simple Interest",$E362*Inputs!$B$6/Inputs!$B$17*$D362,$E362*Inputs!$B$6/Inputs!$B$19),2))</f>
        <v>86.89</v>
      </c>
      <c r="I362" s="25">
        <f t="shared" si="51"/>
        <v>406.92</v>
      </c>
      <c r="J362" s="25">
        <f>IF($E362="","",IF($F362+$G362&gt;0,Inputs!$B$11,0))</f>
        <v>0</v>
      </c>
      <c r="K362" s="25">
        <f t="shared" si="52"/>
        <v>28755.98</v>
      </c>
      <c r="L362" s="25">
        <f t="shared" si="53"/>
        <v>493.81</v>
      </c>
      <c r="M362" s="25">
        <f t="shared" si="54"/>
        <v>0</v>
      </c>
      <c r="N362" s="84" t="str">
        <f t="shared" si="55"/>
        <v>ACTIVE</v>
      </c>
      <c r="O362" s="23">
        <f t="shared" si="56"/>
        <v>1</v>
      </c>
    </row>
    <row r="363" spans="1:15" ht="20" customHeight="1">
      <c r="A363" s="22" t="str">
        <f t="shared" si="60"/>
        <v>Twice Monthly</v>
      </c>
      <c r="B363" s="23">
        <f>IF($E363="","",17)</f>
        <v>17</v>
      </c>
      <c r="C363" s="24">
        <f>IF($E363="","",EDATE(Inputs!$B$9,INT(16/2))+IF(MOD(16,2)=0,0,Inputs!$B$22))</f>
        <v>46534</v>
      </c>
      <c r="D363" s="23">
        <f t="shared" si="61"/>
        <v>15</v>
      </c>
      <c r="E363" s="25">
        <f t="shared" si="62"/>
        <v>28755.98</v>
      </c>
      <c r="F363" s="25">
        <f>IF($E363="","",ROUND(MIN(Comparison!$C$5,MAX(0,$E363+$H363)),2))</f>
        <v>493.81</v>
      </c>
      <c r="G363" s="25">
        <f>IF($E363="","",ROUND(MIN(Inputs!$B$10,MAX(0,$E363+$H363-$F363)),2))</f>
        <v>0</v>
      </c>
      <c r="H363" s="25">
        <f>IF($E363="","",ROUND(IF(Inputs!$B$12="Daily Simple Interest",$E363*Inputs!$B$6/Inputs!$B$17*$D363,$E363*Inputs!$B$6/Inputs!$B$19),2))</f>
        <v>85.68</v>
      </c>
      <c r="I363" s="25">
        <f t="shared" si="51"/>
        <v>408.13</v>
      </c>
      <c r="J363" s="25">
        <f>IF($E363="","",IF($F363+$G363&gt;0,Inputs!$B$11,0))</f>
        <v>0</v>
      </c>
      <c r="K363" s="25">
        <f t="shared" si="52"/>
        <v>28347.85</v>
      </c>
      <c r="L363" s="25">
        <f t="shared" si="53"/>
        <v>493.81</v>
      </c>
      <c r="M363" s="25">
        <f t="shared" si="54"/>
        <v>0</v>
      </c>
      <c r="N363" s="84" t="str">
        <f t="shared" si="55"/>
        <v>ACTIVE</v>
      </c>
      <c r="O363" s="23">
        <f t="shared" si="56"/>
        <v>1</v>
      </c>
    </row>
    <row r="364" spans="1:15" ht="20" customHeight="1">
      <c r="A364" s="22" t="str">
        <f t="shared" si="60"/>
        <v>Twice Monthly</v>
      </c>
      <c r="B364" s="23">
        <f>IF($E364="","",18)</f>
        <v>18</v>
      </c>
      <c r="C364" s="24">
        <f>IF($E364="","",EDATE(Inputs!$B$9,INT(17/2))+IF(MOD(17,2)=0,0,Inputs!$B$22))</f>
        <v>46549</v>
      </c>
      <c r="D364" s="23">
        <f t="shared" si="61"/>
        <v>15</v>
      </c>
      <c r="E364" s="25">
        <f t="shared" si="62"/>
        <v>28347.85</v>
      </c>
      <c r="F364" s="25">
        <f>IF($E364="","",ROUND(MIN(Comparison!$C$5,MAX(0,$E364+$H364)),2))</f>
        <v>493.81</v>
      </c>
      <c r="G364" s="25">
        <f>IF($E364="","",ROUND(MIN(Inputs!$B$10,MAX(0,$E364+$H364-$F364)),2))</f>
        <v>0</v>
      </c>
      <c r="H364" s="25">
        <f>IF($E364="","",ROUND(IF(Inputs!$B$12="Daily Simple Interest",$E364*Inputs!$B$6/Inputs!$B$17*$D364,$E364*Inputs!$B$6/Inputs!$B$19),2))</f>
        <v>84.46</v>
      </c>
      <c r="I364" s="25">
        <f t="shared" si="51"/>
        <v>409.35</v>
      </c>
      <c r="J364" s="25">
        <f>IF($E364="","",IF($F364+$G364&gt;0,Inputs!$B$11,0))</f>
        <v>0</v>
      </c>
      <c r="K364" s="25">
        <f t="shared" si="52"/>
        <v>27938.5</v>
      </c>
      <c r="L364" s="25">
        <f t="shared" si="53"/>
        <v>493.81</v>
      </c>
      <c r="M364" s="25">
        <f t="shared" si="54"/>
        <v>0</v>
      </c>
      <c r="N364" s="84" t="str">
        <f t="shared" si="55"/>
        <v>ACTIVE</v>
      </c>
      <c r="O364" s="23">
        <f t="shared" si="56"/>
        <v>1</v>
      </c>
    </row>
    <row r="365" spans="1:15" ht="20" customHeight="1">
      <c r="A365" s="22" t="str">
        <f t="shared" si="60"/>
        <v>Twice Monthly</v>
      </c>
      <c r="B365" s="23">
        <f>IF($E365="","",19)</f>
        <v>19</v>
      </c>
      <c r="C365" s="24">
        <f>IF($E365="","",EDATE(Inputs!$B$9,INT(18/2))+IF(MOD(18,2)=0,0,Inputs!$B$22))</f>
        <v>46565</v>
      </c>
      <c r="D365" s="23">
        <f t="shared" si="61"/>
        <v>16</v>
      </c>
      <c r="E365" s="25">
        <f t="shared" si="62"/>
        <v>27938.5</v>
      </c>
      <c r="F365" s="25">
        <f>IF($E365="","",ROUND(MIN(Comparison!$C$5,MAX(0,$E365+$H365)),2))</f>
        <v>493.81</v>
      </c>
      <c r="G365" s="25">
        <f>IF($E365="","",ROUND(MIN(Inputs!$B$10,MAX(0,$E365+$H365-$F365)),2))</f>
        <v>0</v>
      </c>
      <c r="H365" s="25">
        <f>IF($E365="","",ROUND(IF(Inputs!$B$12="Daily Simple Interest",$E365*Inputs!$B$6/Inputs!$B$17*$D365,$E365*Inputs!$B$6/Inputs!$B$19),2))</f>
        <v>88.79</v>
      </c>
      <c r="I365" s="25">
        <f t="shared" si="51"/>
        <v>405.02</v>
      </c>
      <c r="J365" s="25">
        <f>IF($E365="","",IF($F365+$G365&gt;0,Inputs!$B$11,0))</f>
        <v>0</v>
      </c>
      <c r="K365" s="25">
        <f t="shared" si="52"/>
        <v>27533.48</v>
      </c>
      <c r="L365" s="25">
        <f t="shared" si="53"/>
        <v>493.81</v>
      </c>
      <c r="M365" s="25">
        <f t="shared" si="54"/>
        <v>0</v>
      </c>
      <c r="N365" s="84" t="str">
        <f t="shared" si="55"/>
        <v>ACTIVE</v>
      </c>
      <c r="O365" s="23">
        <f t="shared" si="56"/>
        <v>1</v>
      </c>
    </row>
    <row r="366" spans="1:15" ht="20" customHeight="1">
      <c r="A366" s="22" t="str">
        <f t="shared" si="60"/>
        <v>Twice Monthly</v>
      </c>
      <c r="B366" s="23">
        <f>IF($E366="","",20)</f>
        <v>20</v>
      </c>
      <c r="C366" s="24">
        <f>IF($E366="","",EDATE(Inputs!$B$9,INT(19/2))+IF(MOD(19,2)=0,0,Inputs!$B$22))</f>
        <v>46580</v>
      </c>
      <c r="D366" s="23">
        <f t="shared" si="61"/>
        <v>15</v>
      </c>
      <c r="E366" s="25">
        <f t="shared" si="62"/>
        <v>27533.48</v>
      </c>
      <c r="F366" s="25">
        <f>IF($E366="","",ROUND(MIN(Comparison!$C$5,MAX(0,$E366+$H366)),2))</f>
        <v>493.81</v>
      </c>
      <c r="G366" s="25">
        <f>IF($E366="","",ROUND(MIN(Inputs!$B$10,MAX(0,$E366+$H366-$F366)),2))</f>
        <v>0</v>
      </c>
      <c r="H366" s="25">
        <f>IF($E366="","",ROUND(IF(Inputs!$B$12="Daily Simple Interest",$E366*Inputs!$B$6/Inputs!$B$17*$D366,$E366*Inputs!$B$6/Inputs!$B$19),2))</f>
        <v>82.03</v>
      </c>
      <c r="I366" s="25">
        <f t="shared" si="51"/>
        <v>411.78</v>
      </c>
      <c r="J366" s="25">
        <f>IF($E366="","",IF($F366+$G366&gt;0,Inputs!$B$11,0))</f>
        <v>0</v>
      </c>
      <c r="K366" s="25">
        <f t="shared" si="52"/>
        <v>27121.7</v>
      </c>
      <c r="L366" s="25">
        <f t="shared" si="53"/>
        <v>493.81</v>
      </c>
      <c r="M366" s="25">
        <f t="shared" si="54"/>
        <v>0</v>
      </c>
      <c r="N366" s="84" t="str">
        <f t="shared" si="55"/>
        <v>ACTIVE</v>
      </c>
      <c r="O366" s="23">
        <f t="shared" si="56"/>
        <v>1</v>
      </c>
    </row>
    <row r="367" spans="1:15" ht="20" customHeight="1">
      <c r="A367" s="22" t="str">
        <f t="shared" si="60"/>
        <v>Twice Monthly</v>
      </c>
      <c r="B367" s="23">
        <f>IF($E367="","",21)</f>
        <v>21</v>
      </c>
      <c r="C367" s="24">
        <f>IF($E367="","",EDATE(Inputs!$B$9,INT(20/2))+IF(MOD(20,2)=0,0,Inputs!$B$22))</f>
        <v>46595</v>
      </c>
      <c r="D367" s="23">
        <f t="shared" si="61"/>
        <v>15</v>
      </c>
      <c r="E367" s="25">
        <f t="shared" si="62"/>
        <v>27121.7</v>
      </c>
      <c r="F367" s="25">
        <f>IF($E367="","",ROUND(MIN(Comparison!$C$5,MAX(0,$E367+$H367)),2))</f>
        <v>493.81</v>
      </c>
      <c r="G367" s="25">
        <f>IF($E367="","",ROUND(MIN(Inputs!$B$10,MAX(0,$E367+$H367-$F367)),2))</f>
        <v>0</v>
      </c>
      <c r="H367" s="25">
        <f>IF($E367="","",ROUND(IF(Inputs!$B$12="Daily Simple Interest",$E367*Inputs!$B$6/Inputs!$B$17*$D367,$E367*Inputs!$B$6/Inputs!$B$19),2))</f>
        <v>80.81</v>
      </c>
      <c r="I367" s="25">
        <f t="shared" si="51"/>
        <v>413</v>
      </c>
      <c r="J367" s="25">
        <f>IF($E367="","",IF($F367+$G367&gt;0,Inputs!$B$11,0))</f>
        <v>0</v>
      </c>
      <c r="K367" s="25">
        <f t="shared" si="52"/>
        <v>26708.7</v>
      </c>
      <c r="L367" s="25">
        <f t="shared" si="53"/>
        <v>493.81</v>
      </c>
      <c r="M367" s="25">
        <f t="shared" si="54"/>
        <v>0</v>
      </c>
      <c r="N367" s="84" t="str">
        <f t="shared" si="55"/>
        <v>ACTIVE</v>
      </c>
      <c r="O367" s="23">
        <f t="shared" si="56"/>
        <v>1</v>
      </c>
    </row>
    <row r="368" spans="1:15" ht="20" customHeight="1">
      <c r="A368" s="22" t="str">
        <f t="shared" si="60"/>
        <v>Twice Monthly</v>
      </c>
      <c r="B368" s="23">
        <f>IF($E368="","",22)</f>
        <v>22</v>
      </c>
      <c r="C368" s="24">
        <f>IF($E368="","",EDATE(Inputs!$B$9,INT(21/2))+IF(MOD(21,2)=0,0,Inputs!$B$22))</f>
        <v>46610</v>
      </c>
      <c r="D368" s="23">
        <f t="shared" si="61"/>
        <v>15</v>
      </c>
      <c r="E368" s="25">
        <f t="shared" si="62"/>
        <v>26708.7</v>
      </c>
      <c r="F368" s="25">
        <f>IF($E368="","",ROUND(MIN(Comparison!$C$5,MAX(0,$E368+$H368)),2))</f>
        <v>493.81</v>
      </c>
      <c r="G368" s="25">
        <f>IF($E368="","",ROUND(MIN(Inputs!$B$10,MAX(0,$E368+$H368-$F368)),2))</f>
        <v>0</v>
      </c>
      <c r="H368" s="25">
        <f>IF($E368="","",ROUND(IF(Inputs!$B$12="Daily Simple Interest",$E368*Inputs!$B$6/Inputs!$B$17*$D368,$E368*Inputs!$B$6/Inputs!$B$19),2))</f>
        <v>79.58</v>
      </c>
      <c r="I368" s="25">
        <f t="shared" si="51"/>
        <v>414.23</v>
      </c>
      <c r="J368" s="25">
        <f>IF($E368="","",IF($F368+$G368&gt;0,Inputs!$B$11,0))</f>
        <v>0</v>
      </c>
      <c r="K368" s="25">
        <f t="shared" si="52"/>
        <v>26294.47</v>
      </c>
      <c r="L368" s="25">
        <f t="shared" si="53"/>
        <v>493.81</v>
      </c>
      <c r="M368" s="25">
        <f t="shared" si="54"/>
        <v>0</v>
      </c>
      <c r="N368" s="84" t="str">
        <f t="shared" si="55"/>
        <v>ACTIVE</v>
      </c>
      <c r="O368" s="23">
        <f t="shared" si="56"/>
        <v>1</v>
      </c>
    </row>
    <row r="369" spans="1:15" ht="20" customHeight="1">
      <c r="A369" s="22" t="str">
        <f t="shared" si="60"/>
        <v>Twice Monthly</v>
      </c>
      <c r="B369" s="23">
        <f>IF($E369="","",23)</f>
        <v>23</v>
      </c>
      <c r="C369" s="24">
        <f>IF($E369="","",EDATE(Inputs!$B$9,INT(22/2))+IF(MOD(22,2)=0,0,Inputs!$B$22))</f>
        <v>46626</v>
      </c>
      <c r="D369" s="23">
        <f t="shared" si="61"/>
        <v>16</v>
      </c>
      <c r="E369" s="25">
        <f t="shared" si="62"/>
        <v>26294.47</v>
      </c>
      <c r="F369" s="25">
        <f>IF($E369="","",ROUND(MIN(Comparison!$C$5,MAX(0,$E369+$H369)),2))</f>
        <v>493.81</v>
      </c>
      <c r="G369" s="25">
        <f>IF($E369="","",ROUND(MIN(Inputs!$B$10,MAX(0,$E369+$H369-$F369)),2))</f>
        <v>0</v>
      </c>
      <c r="H369" s="25">
        <f>IF($E369="","",ROUND(IF(Inputs!$B$12="Daily Simple Interest",$E369*Inputs!$B$6/Inputs!$B$17*$D369,$E369*Inputs!$B$6/Inputs!$B$19),2))</f>
        <v>83.57</v>
      </c>
      <c r="I369" s="25">
        <f t="shared" si="51"/>
        <v>410.24</v>
      </c>
      <c r="J369" s="25">
        <f>IF($E369="","",IF($F369+$G369&gt;0,Inputs!$B$11,0))</f>
        <v>0</v>
      </c>
      <c r="K369" s="25">
        <f t="shared" si="52"/>
        <v>25884.23</v>
      </c>
      <c r="L369" s="25">
        <f t="shared" si="53"/>
        <v>493.81</v>
      </c>
      <c r="M369" s="25">
        <f t="shared" si="54"/>
        <v>0</v>
      </c>
      <c r="N369" s="84" t="str">
        <f t="shared" si="55"/>
        <v>ACTIVE</v>
      </c>
      <c r="O369" s="23">
        <f t="shared" si="56"/>
        <v>1</v>
      </c>
    </row>
    <row r="370" spans="1:15" ht="20" customHeight="1">
      <c r="A370" s="22" t="str">
        <f t="shared" si="60"/>
        <v>Twice Monthly</v>
      </c>
      <c r="B370" s="23">
        <f>IF($E370="","",24)</f>
        <v>24</v>
      </c>
      <c r="C370" s="24">
        <f>IF($E370="","",EDATE(Inputs!$B$9,INT(23/2))+IF(MOD(23,2)=0,0,Inputs!$B$22))</f>
        <v>46641</v>
      </c>
      <c r="D370" s="23">
        <f t="shared" si="61"/>
        <v>15</v>
      </c>
      <c r="E370" s="25">
        <f t="shared" si="62"/>
        <v>25884.23</v>
      </c>
      <c r="F370" s="25">
        <f>IF($E370="","",ROUND(MIN(Comparison!$C$5,MAX(0,$E370+$H370)),2))</f>
        <v>493.81</v>
      </c>
      <c r="G370" s="25">
        <f>IF($E370="","",ROUND(MIN(Inputs!$B$10,MAX(0,$E370+$H370-$F370)),2))</f>
        <v>0</v>
      </c>
      <c r="H370" s="25">
        <f>IF($E370="","",ROUND(IF(Inputs!$B$12="Daily Simple Interest",$E370*Inputs!$B$6/Inputs!$B$17*$D370,$E370*Inputs!$B$6/Inputs!$B$19),2))</f>
        <v>77.12</v>
      </c>
      <c r="I370" s="25">
        <f t="shared" si="51"/>
        <v>416.69</v>
      </c>
      <c r="J370" s="25">
        <f>IF($E370="","",IF($F370+$G370&gt;0,Inputs!$B$11,0))</f>
        <v>0</v>
      </c>
      <c r="K370" s="25">
        <f t="shared" si="52"/>
        <v>25467.54</v>
      </c>
      <c r="L370" s="25">
        <f t="shared" si="53"/>
        <v>493.81</v>
      </c>
      <c r="M370" s="25">
        <f t="shared" si="54"/>
        <v>0</v>
      </c>
      <c r="N370" s="84" t="str">
        <f t="shared" si="55"/>
        <v>ACTIVE</v>
      </c>
      <c r="O370" s="23">
        <f t="shared" si="56"/>
        <v>1</v>
      </c>
    </row>
    <row r="371" spans="1:15" ht="20" customHeight="1">
      <c r="A371" s="22" t="str">
        <f t="shared" si="60"/>
        <v>Twice Monthly</v>
      </c>
      <c r="B371" s="23">
        <f>IF($E371="","",25)</f>
        <v>25</v>
      </c>
      <c r="C371" s="24">
        <f>IF($E371="","",EDATE(Inputs!$B$9,INT(24/2))+IF(MOD(24,2)=0,0,Inputs!$B$22))</f>
        <v>46657</v>
      </c>
      <c r="D371" s="23">
        <f t="shared" si="61"/>
        <v>16</v>
      </c>
      <c r="E371" s="25">
        <f t="shared" si="62"/>
        <v>25467.54</v>
      </c>
      <c r="F371" s="25">
        <f>IF($E371="","",ROUND(MIN(Comparison!$C$5,MAX(0,$E371+$H371)),2))</f>
        <v>493.81</v>
      </c>
      <c r="G371" s="25">
        <f>IF($E371="","",ROUND(MIN(Inputs!$B$10,MAX(0,$E371+$H371-$F371)),2))</f>
        <v>0</v>
      </c>
      <c r="H371" s="25">
        <f>IF($E371="","",ROUND(IF(Inputs!$B$12="Daily Simple Interest",$E371*Inputs!$B$6/Inputs!$B$17*$D371,$E371*Inputs!$B$6/Inputs!$B$19),2))</f>
        <v>80.94</v>
      </c>
      <c r="I371" s="25">
        <f t="shared" si="51"/>
        <v>412.87</v>
      </c>
      <c r="J371" s="25">
        <f>IF($E371="","",IF($F371+$G371&gt;0,Inputs!$B$11,0))</f>
        <v>0</v>
      </c>
      <c r="K371" s="25">
        <f t="shared" si="52"/>
        <v>25054.67</v>
      </c>
      <c r="L371" s="25">
        <f t="shared" si="53"/>
        <v>493.81</v>
      </c>
      <c r="M371" s="25">
        <f t="shared" si="54"/>
        <v>0</v>
      </c>
      <c r="N371" s="84" t="str">
        <f t="shared" si="55"/>
        <v>ACTIVE</v>
      </c>
      <c r="O371" s="23">
        <f t="shared" si="56"/>
        <v>1</v>
      </c>
    </row>
    <row r="372" spans="1:15" ht="20" customHeight="1">
      <c r="A372" s="22" t="str">
        <f t="shared" si="60"/>
        <v>Twice Monthly</v>
      </c>
      <c r="B372" s="23">
        <f>IF($E372="","",26)</f>
        <v>26</v>
      </c>
      <c r="C372" s="24">
        <f>IF($E372="","",EDATE(Inputs!$B$9,INT(25/2))+IF(MOD(25,2)=0,0,Inputs!$B$22))</f>
        <v>46672</v>
      </c>
      <c r="D372" s="23">
        <f t="shared" si="61"/>
        <v>15</v>
      </c>
      <c r="E372" s="25">
        <f t="shared" si="62"/>
        <v>25054.67</v>
      </c>
      <c r="F372" s="25">
        <f>IF($E372="","",ROUND(MIN(Comparison!$C$5,MAX(0,$E372+$H372)),2))</f>
        <v>493.81</v>
      </c>
      <c r="G372" s="25">
        <f>IF($E372="","",ROUND(MIN(Inputs!$B$10,MAX(0,$E372+$H372-$F372)),2))</f>
        <v>0</v>
      </c>
      <c r="H372" s="25">
        <f>IF($E372="","",ROUND(IF(Inputs!$B$12="Daily Simple Interest",$E372*Inputs!$B$6/Inputs!$B$17*$D372,$E372*Inputs!$B$6/Inputs!$B$19),2))</f>
        <v>74.650000000000006</v>
      </c>
      <c r="I372" s="25">
        <f t="shared" si="51"/>
        <v>419.16</v>
      </c>
      <c r="J372" s="25">
        <f>IF($E372="","",IF($F372+$G372&gt;0,Inputs!$B$11,0))</f>
        <v>0</v>
      </c>
      <c r="K372" s="25">
        <f t="shared" si="52"/>
        <v>24635.51</v>
      </c>
      <c r="L372" s="25">
        <f t="shared" si="53"/>
        <v>493.81</v>
      </c>
      <c r="M372" s="25">
        <f t="shared" si="54"/>
        <v>0</v>
      </c>
      <c r="N372" s="84" t="str">
        <f t="shared" si="55"/>
        <v>ACTIVE</v>
      </c>
      <c r="O372" s="23">
        <f t="shared" si="56"/>
        <v>1</v>
      </c>
    </row>
    <row r="373" spans="1:15" ht="20" customHeight="1">
      <c r="A373" s="22" t="str">
        <f t="shared" si="60"/>
        <v>Twice Monthly</v>
      </c>
      <c r="B373" s="23">
        <f>IF($E373="","",27)</f>
        <v>27</v>
      </c>
      <c r="C373" s="24">
        <f>IF($E373="","",EDATE(Inputs!$B$9,INT(26/2))+IF(MOD(26,2)=0,0,Inputs!$B$22))</f>
        <v>46687</v>
      </c>
      <c r="D373" s="23">
        <f t="shared" si="61"/>
        <v>15</v>
      </c>
      <c r="E373" s="25">
        <f t="shared" si="62"/>
        <v>24635.51</v>
      </c>
      <c r="F373" s="25">
        <f>IF($E373="","",ROUND(MIN(Comparison!$C$5,MAX(0,$E373+$H373)),2))</f>
        <v>493.81</v>
      </c>
      <c r="G373" s="25">
        <f>IF($E373="","",ROUND(MIN(Inputs!$B$10,MAX(0,$E373+$H373-$F373)),2))</f>
        <v>0</v>
      </c>
      <c r="H373" s="25">
        <f>IF($E373="","",ROUND(IF(Inputs!$B$12="Daily Simple Interest",$E373*Inputs!$B$6/Inputs!$B$17*$D373,$E373*Inputs!$B$6/Inputs!$B$19),2))</f>
        <v>73.400000000000006</v>
      </c>
      <c r="I373" s="25">
        <f t="shared" si="51"/>
        <v>420.41</v>
      </c>
      <c r="J373" s="25">
        <f>IF($E373="","",IF($F373+$G373&gt;0,Inputs!$B$11,0))</f>
        <v>0</v>
      </c>
      <c r="K373" s="25">
        <f t="shared" si="52"/>
        <v>24215.1</v>
      </c>
      <c r="L373" s="25">
        <f t="shared" si="53"/>
        <v>493.81</v>
      </c>
      <c r="M373" s="25">
        <f t="shared" si="54"/>
        <v>0</v>
      </c>
      <c r="N373" s="84" t="str">
        <f t="shared" si="55"/>
        <v>ACTIVE</v>
      </c>
      <c r="O373" s="23">
        <f t="shared" si="56"/>
        <v>1</v>
      </c>
    </row>
    <row r="374" spans="1:15" ht="20" customHeight="1">
      <c r="A374" s="22" t="str">
        <f t="shared" si="60"/>
        <v>Twice Monthly</v>
      </c>
      <c r="B374" s="23">
        <f>IF($E374="","",28)</f>
        <v>28</v>
      </c>
      <c r="C374" s="24">
        <f>IF($E374="","",EDATE(Inputs!$B$9,INT(27/2))+IF(MOD(27,2)=0,0,Inputs!$B$22))</f>
        <v>46702</v>
      </c>
      <c r="D374" s="23">
        <f t="shared" si="61"/>
        <v>15</v>
      </c>
      <c r="E374" s="25">
        <f t="shared" si="62"/>
        <v>24215.1</v>
      </c>
      <c r="F374" s="25">
        <f>IF($E374="","",ROUND(MIN(Comparison!$C$5,MAX(0,$E374+$H374)),2))</f>
        <v>493.81</v>
      </c>
      <c r="G374" s="25">
        <f>IF($E374="","",ROUND(MIN(Inputs!$B$10,MAX(0,$E374+$H374-$F374)),2))</f>
        <v>0</v>
      </c>
      <c r="H374" s="25">
        <f>IF($E374="","",ROUND(IF(Inputs!$B$12="Daily Simple Interest",$E374*Inputs!$B$6/Inputs!$B$17*$D374,$E374*Inputs!$B$6/Inputs!$B$19),2))</f>
        <v>72.150000000000006</v>
      </c>
      <c r="I374" s="25">
        <f t="shared" si="51"/>
        <v>421.66</v>
      </c>
      <c r="J374" s="25">
        <f>IF($E374="","",IF($F374+$G374&gt;0,Inputs!$B$11,0))</f>
        <v>0</v>
      </c>
      <c r="K374" s="25">
        <f t="shared" si="52"/>
        <v>23793.439999999999</v>
      </c>
      <c r="L374" s="25">
        <f t="shared" si="53"/>
        <v>493.81</v>
      </c>
      <c r="M374" s="25">
        <f t="shared" si="54"/>
        <v>0</v>
      </c>
      <c r="N374" s="84" t="str">
        <f t="shared" si="55"/>
        <v>ACTIVE</v>
      </c>
      <c r="O374" s="23">
        <f t="shared" si="56"/>
        <v>1</v>
      </c>
    </row>
    <row r="375" spans="1:15" ht="20" customHeight="1">
      <c r="A375" s="22" t="str">
        <f t="shared" si="60"/>
        <v>Twice Monthly</v>
      </c>
      <c r="B375" s="23">
        <f>IF($E375="","",29)</f>
        <v>29</v>
      </c>
      <c r="C375" s="24">
        <f>IF($E375="","",EDATE(Inputs!$B$9,INT(28/2))+IF(MOD(28,2)=0,0,Inputs!$B$22))</f>
        <v>46718</v>
      </c>
      <c r="D375" s="23">
        <f t="shared" si="61"/>
        <v>16</v>
      </c>
      <c r="E375" s="25">
        <f t="shared" si="62"/>
        <v>23793.439999999999</v>
      </c>
      <c r="F375" s="25">
        <f>IF($E375="","",ROUND(MIN(Comparison!$C$5,MAX(0,$E375+$H375)),2))</f>
        <v>493.81</v>
      </c>
      <c r="G375" s="25">
        <f>IF($E375="","",ROUND(MIN(Inputs!$B$10,MAX(0,$E375+$H375-$F375)),2))</f>
        <v>0</v>
      </c>
      <c r="H375" s="25">
        <f>IF($E375="","",ROUND(IF(Inputs!$B$12="Daily Simple Interest",$E375*Inputs!$B$6/Inputs!$B$17*$D375,$E375*Inputs!$B$6/Inputs!$B$19),2))</f>
        <v>75.62</v>
      </c>
      <c r="I375" s="25">
        <f t="shared" si="51"/>
        <v>418.19</v>
      </c>
      <c r="J375" s="25">
        <f>IF($E375="","",IF($F375+$G375&gt;0,Inputs!$B$11,0))</f>
        <v>0</v>
      </c>
      <c r="K375" s="25">
        <f t="shared" si="52"/>
        <v>23375.25</v>
      </c>
      <c r="L375" s="25">
        <f t="shared" si="53"/>
        <v>493.81</v>
      </c>
      <c r="M375" s="25">
        <f t="shared" si="54"/>
        <v>0</v>
      </c>
      <c r="N375" s="84" t="str">
        <f t="shared" si="55"/>
        <v>ACTIVE</v>
      </c>
      <c r="O375" s="23">
        <f t="shared" si="56"/>
        <v>1</v>
      </c>
    </row>
    <row r="376" spans="1:15" ht="20" customHeight="1">
      <c r="A376" s="22" t="str">
        <f t="shared" si="60"/>
        <v>Twice Monthly</v>
      </c>
      <c r="B376" s="23">
        <f>IF($E376="","",30)</f>
        <v>30</v>
      </c>
      <c r="C376" s="24">
        <f>IF($E376="","",EDATE(Inputs!$B$9,INT(29/2))+IF(MOD(29,2)=0,0,Inputs!$B$22))</f>
        <v>46733</v>
      </c>
      <c r="D376" s="23">
        <f t="shared" si="61"/>
        <v>15</v>
      </c>
      <c r="E376" s="25">
        <f t="shared" si="62"/>
        <v>23375.25</v>
      </c>
      <c r="F376" s="25">
        <f>IF($E376="","",ROUND(MIN(Comparison!$C$5,MAX(0,$E376+$H376)),2))</f>
        <v>493.81</v>
      </c>
      <c r="G376" s="25">
        <f>IF($E376="","",ROUND(MIN(Inputs!$B$10,MAX(0,$E376+$H376-$F376)),2))</f>
        <v>0</v>
      </c>
      <c r="H376" s="25">
        <f>IF($E376="","",ROUND(IF(Inputs!$B$12="Daily Simple Interest",$E376*Inputs!$B$6/Inputs!$B$17*$D376,$E376*Inputs!$B$6/Inputs!$B$19),2))</f>
        <v>69.650000000000006</v>
      </c>
      <c r="I376" s="25">
        <f t="shared" si="51"/>
        <v>424.16</v>
      </c>
      <c r="J376" s="25">
        <f>IF($E376="","",IF($F376+$G376&gt;0,Inputs!$B$11,0))</f>
        <v>0</v>
      </c>
      <c r="K376" s="25">
        <f t="shared" si="52"/>
        <v>22951.09</v>
      </c>
      <c r="L376" s="25">
        <f t="shared" si="53"/>
        <v>493.81</v>
      </c>
      <c r="M376" s="25">
        <f t="shared" si="54"/>
        <v>0</v>
      </c>
      <c r="N376" s="84" t="str">
        <f t="shared" si="55"/>
        <v>ACTIVE</v>
      </c>
      <c r="O376" s="23">
        <f t="shared" si="56"/>
        <v>1</v>
      </c>
    </row>
    <row r="377" spans="1:15" ht="20" customHeight="1">
      <c r="A377" s="22" t="str">
        <f t="shared" si="60"/>
        <v>Twice Monthly</v>
      </c>
      <c r="B377" s="23">
        <f>IF($E377="","",31)</f>
        <v>31</v>
      </c>
      <c r="C377" s="24">
        <f>IF($E377="","",EDATE(Inputs!$B$9,INT(30/2))+IF(MOD(30,2)=0,0,Inputs!$B$22))</f>
        <v>46748</v>
      </c>
      <c r="D377" s="23">
        <f t="shared" si="61"/>
        <v>15</v>
      </c>
      <c r="E377" s="25">
        <f t="shared" si="62"/>
        <v>22951.09</v>
      </c>
      <c r="F377" s="25">
        <f>IF($E377="","",ROUND(MIN(Comparison!$C$5,MAX(0,$E377+$H377)),2))</f>
        <v>493.81</v>
      </c>
      <c r="G377" s="25">
        <f>IF($E377="","",ROUND(MIN(Inputs!$B$10,MAX(0,$E377+$H377-$F377)),2))</f>
        <v>0</v>
      </c>
      <c r="H377" s="25">
        <f>IF($E377="","",ROUND(IF(Inputs!$B$12="Daily Simple Interest",$E377*Inputs!$B$6/Inputs!$B$17*$D377,$E377*Inputs!$B$6/Inputs!$B$19),2))</f>
        <v>68.38</v>
      </c>
      <c r="I377" s="25">
        <f t="shared" si="51"/>
        <v>425.43</v>
      </c>
      <c r="J377" s="25">
        <f>IF($E377="","",IF($F377+$G377&gt;0,Inputs!$B$11,0))</f>
        <v>0</v>
      </c>
      <c r="K377" s="25">
        <f t="shared" si="52"/>
        <v>22525.66</v>
      </c>
      <c r="L377" s="25">
        <f t="shared" si="53"/>
        <v>493.81</v>
      </c>
      <c r="M377" s="25">
        <f t="shared" si="54"/>
        <v>0</v>
      </c>
      <c r="N377" s="84" t="str">
        <f t="shared" si="55"/>
        <v>ACTIVE</v>
      </c>
      <c r="O377" s="23">
        <f t="shared" si="56"/>
        <v>1</v>
      </c>
    </row>
    <row r="378" spans="1:15" ht="20" customHeight="1">
      <c r="A378" s="22" t="str">
        <f t="shared" si="60"/>
        <v>Twice Monthly</v>
      </c>
      <c r="B378" s="23">
        <f>IF($E378="","",32)</f>
        <v>32</v>
      </c>
      <c r="C378" s="24">
        <f>IF($E378="","",EDATE(Inputs!$B$9,INT(31/2))+IF(MOD(31,2)=0,0,Inputs!$B$22))</f>
        <v>46763</v>
      </c>
      <c r="D378" s="23">
        <f t="shared" si="61"/>
        <v>15</v>
      </c>
      <c r="E378" s="25">
        <f t="shared" si="62"/>
        <v>22525.66</v>
      </c>
      <c r="F378" s="25">
        <f>IF($E378="","",ROUND(MIN(Comparison!$C$5,MAX(0,$E378+$H378)),2))</f>
        <v>493.81</v>
      </c>
      <c r="G378" s="25">
        <f>IF($E378="","",ROUND(MIN(Inputs!$B$10,MAX(0,$E378+$H378-$F378)),2))</f>
        <v>0</v>
      </c>
      <c r="H378" s="25">
        <f>IF($E378="","",ROUND(IF(Inputs!$B$12="Daily Simple Interest",$E378*Inputs!$B$6/Inputs!$B$17*$D378,$E378*Inputs!$B$6/Inputs!$B$19),2))</f>
        <v>67.11</v>
      </c>
      <c r="I378" s="25">
        <f t="shared" si="51"/>
        <v>426.7</v>
      </c>
      <c r="J378" s="25">
        <f>IF($E378="","",IF($F378+$G378&gt;0,Inputs!$B$11,0))</f>
        <v>0</v>
      </c>
      <c r="K378" s="25">
        <f t="shared" si="52"/>
        <v>22098.959999999999</v>
      </c>
      <c r="L378" s="25">
        <f t="shared" si="53"/>
        <v>493.81</v>
      </c>
      <c r="M378" s="25">
        <f t="shared" si="54"/>
        <v>0</v>
      </c>
      <c r="N378" s="84" t="str">
        <f t="shared" si="55"/>
        <v>ACTIVE</v>
      </c>
      <c r="O378" s="23">
        <f t="shared" si="56"/>
        <v>1</v>
      </c>
    </row>
    <row r="379" spans="1:15" ht="20" customHeight="1">
      <c r="A379" s="22" t="str">
        <f t="shared" si="60"/>
        <v>Twice Monthly</v>
      </c>
      <c r="B379" s="23">
        <f>IF($E379="","",33)</f>
        <v>33</v>
      </c>
      <c r="C379" s="24">
        <f>IF($E379="","",EDATE(Inputs!$B$9,INT(32/2))+IF(MOD(32,2)=0,0,Inputs!$B$22))</f>
        <v>46779</v>
      </c>
      <c r="D379" s="23">
        <f t="shared" si="61"/>
        <v>16</v>
      </c>
      <c r="E379" s="25">
        <f t="shared" si="62"/>
        <v>22098.959999999999</v>
      </c>
      <c r="F379" s="25">
        <f>IF($E379="","",ROUND(MIN(Comparison!$C$5,MAX(0,$E379+$H379)),2))</f>
        <v>493.81</v>
      </c>
      <c r="G379" s="25">
        <f>IF($E379="","",ROUND(MIN(Inputs!$B$10,MAX(0,$E379+$H379-$F379)),2))</f>
        <v>0</v>
      </c>
      <c r="H379" s="25">
        <f>IF($E379="","",ROUND(IF(Inputs!$B$12="Daily Simple Interest",$E379*Inputs!$B$6/Inputs!$B$17*$D379,$E379*Inputs!$B$6/Inputs!$B$19),2))</f>
        <v>70.23</v>
      </c>
      <c r="I379" s="25">
        <f t="shared" si="51"/>
        <v>423.58</v>
      </c>
      <c r="J379" s="25">
        <f>IF($E379="","",IF($F379+$G379&gt;0,Inputs!$B$11,0))</f>
        <v>0</v>
      </c>
      <c r="K379" s="25">
        <f t="shared" si="52"/>
        <v>21675.38</v>
      </c>
      <c r="L379" s="25">
        <f t="shared" si="53"/>
        <v>493.81</v>
      </c>
      <c r="M379" s="25">
        <f t="shared" si="54"/>
        <v>0</v>
      </c>
      <c r="N379" s="84" t="str">
        <f t="shared" si="55"/>
        <v>ACTIVE</v>
      </c>
      <c r="O379" s="23">
        <f t="shared" si="56"/>
        <v>1</v>
      </c>
    </row>
    <row r="380" spans="1:15" ht="20" customHeight="1">
      <c r="A380" s="22" t="str">
        <f t="shared" si="60"/>
        <v>Twice Monthly</v>
      </c>
      <c r="B380" s="23">
        <f>IF($E380="","",34)</f>
        <v>34</v>
      </c>
      <c r="C380" s="24">
        <f>IF($E380="","",EDATE(Inputs!$B$9,INT(33/2))+IF(MOD(33,2)=0,0,Inputs!$B$22))</f>
        <v>46794</v>
      </c>
      <c r="D380" s="23">
        <f t="shared" si="61"/>
        <v>15</v>
      </c>
      <c r="E380" s="25">
        <f t="shared" si="62"/>
        <v>21675.38</v>
      </c>
      <c r="F380" s="25">
        <f>IF($E380="","",ROUND(MIN(Comparison!$C$5,MAX(0,$E380+$H380)),2))</f>
        <v>493.81</v>
      </c>
      <c r="G380" s="25">
        <f>IF($E380="","",ROUND(MIN(Inputs!$B$10,MAX(0,$E380+$H380-$F380)),2))</f>
        <v>0</v>
      </c>
      <c r="H380" s="25">
        <f>IF($E380="","",ROUND(IF(Inputs!$B$12="Daily Simple Interest",$E380*Inputs!$B$6/Inputs!$B$17*$D380,$E380*Inputs!$B$6/Inputs!$B$19),2))</f>
        <v>64.58</v>
      </c>
      <c r="I380" s="25">
        <f t="shared" si="51"/>
        <v>429.23</v>
      </c>
      <c r="J380" s="25">
        <f>IF($E380="","",IF($F380+$G380&gt;0,Inputs!$B$11,0))</f>
        <v>0</v>
      </c>
      <c r="K380" s="25">
        <f t="shared" si="52"/>
        <v>21246.15</v>
      </c>
      <c r="L380" s="25">
        <f t="shared" si="53"/>
        <v>493.81</v>
      </c>
      <c r="M380" s="25">
        <f t="shared" si="54"/>
        <v>0</v>
      </c>
      <c r="N380" s="84" t="str">
        <f t="shared" si="55"/>
        <v>ACTIVE</v>
      </c>
      <c r="O380" s="23">
        <f t="shared" si="56"/>
        <v>1</v>
      </c>
    </row>
    <row r="381" spans="1:15" ht="20" customHeight="1">
      <c r="A381" s="22" t="str">
        <f t="shared" si="60"/>
        <v>Twice Monthly</v>
      </c>
      <c r="B381" s="23">
        <f>IF($E381="","",35)</f>
        <v>35</v>
      </c>
      <c r="C381" s="24">
        <f>IF($E381="","",EDATE(Inputs!$B$9,INT(34/2))+IF(MOD(34,2)=0,0,Inputs!$B$22))</f>
        <v>46810</v>
      </c>
      <c r="D381" s="23">
        <f t="shared" si="61"/>
        <v>16</v>
      </c>
      <c r="E381" s="25">
        <f t="shared" si="62"/>
        <v>21246.15</v>
      </c>
      <c r="F381" s="25">
        <f>IF($E381="","",ROUND(MIN(Comparison!$C$5,MAX(0,$E381+$H381)),2))</f>
        <v>493.81</v>
      </c>
      <c r="G381" s="25">
        <f>IF($E381="","",ROUND(MIN(Inputs!$B$10,MAX(0,$E381+$H381-$F381)),2))</f>
        <v>0</v>
      </c>
      <c r="H381" s="25">
        <f>IF($E381="","",ROUND(IF(Inputs!$B$12="Daily Simple Interest",$E381*Inputs!$B$6/Inputs!$B$17*$D381,$E381*Inputs!$B$6/Inputs!$B$19),2))</f>
        <v>67.52</v>
      </c>
      <c r="I381" s="25">
        <f t="shared" si="51"/>
        <v>426.29</v>
      </c>
      <c r="J381" s="25">
        <f>IF($E381="","",IF($F381+$G381&gt;0,Inputs!$B$11,0))</f>
        <v>0</v>
      </c>
      <c r="K381" s="25">
        <f t="shared" si="52"/>
        <v>20819.86</v>
      </c>
      <c r="L381" s="25">
        <f t="shared" si="53"/>
        <v>493.81</v>
      </c>
      <c r="M381" s="25">
        <f t="shared" si="54"/>
        <v>0</v>
      </c>
      <c r="N381" s="84" t="str">
        <f t="shared" si="55"/>
        <v>ACTIVE</v>
      </c>
      <c r="O381" s="23">
        <f t="shared" si="56"/>
        <v>1</v>
      </c>
    </row>
    <row r="382" spans="1:15" ht="20" customHeight="1">
      <c r="A382" s="22" t="str">
        <f t="shared" si="60"/>
        <v>Twice Monthly</v>
      </c>
      <c r="B382" s="23">
        <f>IF($E382="","",36)</f>
        <v>36</v>
      </c>
      <c r="C382" s="24">
        <f>IF($E382="","",EDATE(Inputs!$B$9,INT(35/2))+IF(MOD(35,2)=0,0,Inputs!$B$22))</f>
        <v>46825</v>
      </c>
      <c r="D382" s="23">
        <f t="shared" si="61"/>
        <v>15</v>
      </c>
      <c r="E382" s="25">
        <f t="shared" si="62"/>
        <v>20819.86</v>
      </c>
      <c r="F382" s="25">
        <f>IF($E382="","",ROUND(MIN(Comparison!$C$5,MAX(0,$E382+$H382)),2))</f>
        <v>493.81</v>
      </c>
      <c r="G382" s="25">
        <f>IF($E382="","",ROUND(MIN(Inputs!$B$10,MAX(0,$E382+$H382-$F382)),2))</f>
        <v>0</v>
      </c>
      <c r="H382" s="25">
        <f>IF($E382="","",ROUND(IF(Inputs!$B$12="Daily Simple Interest",$E382*Inputs!$B$6/Inputs!$B$17*$D382,$E382*Inputs!$B$6/Inputs!$B$19),2))</f>
        <v>62.03</v>
      </c>
      <c r="I382" s="25">
        <f t="shared" si="51"/>
        <v>431.78</v>
      </c>
      <c r="J382" s="25">
        <f>IF($E382="","",IF($F382+$G382&gt;0,Inputs!$B$11,0))</f>
        <v>0</v>
      </c>
      <c r="K382" s="25">
        <f t="shared" si="52"/>
        <v>20388.080000000002</v>
      </c>
      <c r="L382" s="25">
        <f t="shared" si="53"/>
        <v>493.81</v>
      </c>
      <c r="M382" s="25">
        <f t="shared" si="54"/>
        <v>0</v>
      </c>
      <c r="N382" s="84" t="str">
        <f t="shared" si="55"/>
        <v>ACTIVE</v>
      </c>
      <c r="O382" s="23">
        <f t="shared" si="56"/>
        <v>1</v>
      </c>
    </row>
    <row r="383" spans="1:15" ht="20" customHeight="1">
      <c r="A383" s="22" t="str">
        <f t="shared" si="60"/>
        <v>Twice Monthly</v>
      </c>
      <c r="B383" s="23">
        <f>IF($E383="","",37)</f>
        <v>37</v>
      </c>
      <c r="C383" s="24">
        <f>IF($E383="","",EDATE(Inputs!$B$9,INT(36/2))+IF(MOD(36,2)=0,0,Inputs!$B$22))</f>
        <v>46839</v>
      </c>
      <c r="D383" s="23">
        <f t="shared" si="61"/>
        <v>14</v>
      </c>
      <c r="E383" s="25">
        <f t="shared" si="62"/>
        <v>20388.080000000002</v>
      </c>
      <c r="F383" s="25">
        <f>IF($E383="","",ROUND(MIN(Comparison!$C$5,MAX(0,$E383+$H383)),2))</f>
        <v>493.81</v>
      </c>
      <c r="G383" s="25">
        <f>IF($E383="","",ROUND(MIN(Inputs!$B$10,MAX(0,$E383+$H383-$F383)),2))</f>
        <v>0</v>
      </c>
      <c r="H383" s="25">
        <f>IF($E383="","",ROUND(IF(Inputs!$B$12="Daily Simple Interest",$E383*Inputs!$B$6/Inputs!$B$17*$D383,$E383*Inputs!$B$6/Inputs!$B$19),2))</f>
        <v>56.7</v>
      </c>
      <c r="I383" s="25">
        <f t="shared" si="51"/>
        <v>437.11</v>
      </c>
      <c r="J383" s="25">
        <f>IF($E383="","",IF($F383+$G383&gt;0,Inputs!$B$11,0))</f>
        <v>0</v>
      </c>
      <c r="K383" s="25">
        <f t="shared" si="52"/>
        <v>19950.97</v>
      </c>
      <c r="L383" s="25">
        <f t="shared" si="53"/>
        <v>493.81</v>
      </c>
      <c r="M383" s="25">
        <f t="shared" si="54"/>
        <v>0</v>
      </c>
      <c r="N383" s="84" t="str">
        <f t="shared" si="55"/>
        <v>ACTIVE</v>
      </c>
      <c r="O383" s="23">
        <f t="shared" si="56"/>
        <v>1</v>
      </c>
    </row>
    <row r="384" spans="1:15" ht="20" customHeight="1">
      <c r="A384" s="22" t="str">
        <f t="shared" si="60"/>
        <v>Twice Monthly</v>
      </c>
      <c r="B384" s="23">
        <f>IF($E384="","",38)</f>
        <v>38</v>
      </c>
      <c r="C384" s="24">
        <f>IF($E384="","",EDATE(Inputs!$B$9,INT(37/2))+IF(MOD(37,2)=0,0,Inputs!$B$22))</f>
        <v>46854</v>
      </c>
      <c r="D384" s="23">
        <f t="shared" si="61"/>
        <v>15</v>
      </c>
      <c r="E384" s="25">
        <f t="shared" si="62"/>
        <v>19950.97</v>
      </c>
      <c r="F384" s="25">
        <f>IF($E384="","",ROUND(MIN(Comparison!$C$5,MAX(0,$E384+$H384)),2))</f>
        <v>493.81</v>
      </c>
      <c r="G384" s="25">
        <f>IF($E384="","",ROUND(MIN(Inputs!$B$10,MAX(0,$E384+$H384-$F384)),2))</f>
        <v>0</v>
      </c>
      <c r="H384" s="25">
        <f>IF($E384="","",ROUND(IF(Inputs!$B$12="Daily Simple Interest",$E384*Inputs!$B$6/Inputs!$B$17*$D384,$E384*Inputs!$B$6/Inputs!$B$19),2))</f>
        <v>59.44</v>
      </c>
      <c r="I384" s="25">
        <f t="shared" si="51"/>
        <v>434.37</v>
      </c>
      <c r="J384" s="25">
        <f>IF($E384="","",IF($F384+$G384&gt;0,Inputs!$B$11,0))</f>
        <v>0</v>
      </c>
      <c r="K384" s="25">
        <f t="shared" si="52"/>
        <v>19516.599999999999</v>
      </c>
      <c r="L384" s="25">
        <f t="shared" si="53"/>
        <v>493.81</v>
      </c>
      <c r="M384" s="25">
        <f t="shared" si="54"/>
        <v>0</v>
      </c>
      <c r="N384" s="84" t="str">
        <f t="shared" si="55"/>
        <v>ACTIVE</v>
      </c>
      <c r="O384" s="23">
        <f t="shared" si="56"/>
        <v>1</v>
      </c>
    </row>
    <row r="385" spans="1:15" ht="20" customHeight="1">
      <c r="A385" s="22" t="str">
        <f t="shared" si="60"/>
        <v>Twice Monthly</v>
      </c>
      <c r="B385" s="23">
        <f>IF($E385="","",39)</f>
        <v>39</v>
      </c>
      <c r="C385" s="24">
        <f>IF($E385="","",EDATE(Inputs!$B$9,INT(38/2))+IF(MOD(38,2)=0,0,Inputs!$B$22))</f>
        <v>46870</v>
      </c>
      <c r="D385" s="23">
        <f t="shared" si="61"/>
        <v>16</v>
      </c>
      <c r="E385" s="25">
        <f t="shared" si="62"/>
        <v>19516.599999999999</v>
      </c>
      <c r="F385" s="25">
        <f>IF($E385="","",ROUND(MIN(Comparison!$C$5,MAX(0,$E385+$H385)),2))</f>
        <v>493.81</v>
      </c>
      <c r="G385" s="25">
        <f>IF($E385="","",ROUND(MIN(Inputs!$B$10,MAX(0,$E385+$H385-$F385)),2))</f>
        <v>0</v>
      </c>
      <c r="H385" s="25">
        <f>IF($E385="","",ROUND(IF(Inputs!$B$12="Daily Simple Interest",$E385*Inputs!$B$6/Inputs!$B$17*$D385,$E385*Inputs!$B$6/Inputs!$B$19),2))</f>
        <v>62.03</v>
      </c>
      <c r="I385" s="25">
        <f t="shared" si="51"/>
        <v>431.78</v>
      </c>
      <c r="J385" s="25">
        <f>IF($E385="","",IF($F385+$G385&gt;0,Inputs!$B$11,0))</f>
        <v>0</v>
      </c>
      <c r="K385" s="25">
        <f t="shared" si="52"/>
        <v>19084.82</v>
      </c>
      <c r="L385" s="25">
        <f t="shared" si="53"/>
        <v>493.81</v>
      </c>
      <c r="M385" s="25">
        <f t="shared" si="54"/>
        <v>0</v>
      </c>
      <c r="N385" s="84" t="str">
        <f t="shared" si="55"/>
        <v>ACTIVE</v>
      </c>
      <c r="O385" s="23">
        <f t="shared" si="56"/>
        <v>1</v>
      </c>
    </row>
    <row r="386" spans="1:15" ht="20" customHeight="1">
      <c r="A386" s="22" t="str">
        <f t="shared" si="60"/>
        <v>Twice Monthly</v>
      </c>
      <c r="B386" s="23">
        <f>IF($E386="","",40)</f>
        <v>40</v>
      </c>
      <c r="C386" s="24">
        <f>IF($E386="","",EDATE(Inputs!$B$9,INT(39/2))+IF(MOD(39,2)=0,0,Inputs!$B$22))</f>
        <v>46885</v>
      </c>
      <c r="D386" s="23">
        <f t="shared" si="61"/>
        <v>15</v>
      </c>
      <c r="E386" s="25">
        <f t="shared" si="62"/>
        <v>19084.82</v>
      </c>
      <c r="F386" s="25">
        <f>IF($E386="","",ROUND(MIN(Comparison!$C$5,MAX(0,$E386+$H386)),2))</f>
        <v>493.81</v>
      </c>
      <c r="G386" s="25">
        <f>IF($E386="","",ROUND(MIN(Inputs!$B$10,MAX(0,$E386+$H386-$F386)),2))</f>
        <v>0</v>
      </c>
      <c r="H386" s="25">
        <f>IF($E386="","",ROUND(IF(Inputs!$B$12="Daily Simple Interest",$E386*Inputs!$B$6/Inputs!$B$17*$D386,$E386*Inputs!$B$6/Inputs!$B$19),2))</f>
        <v>56.86</v>
      </c>
      <c r="I386" s="25">
        <f t="shared" si="51"/>
        <v>436.95</v>
      </c>
      <c r="J386" s="25">
        <f>IF($E386="","",IF($F386+$G386&gt;0,Inputs!$B$11,0))</f>
        <v>0</v>
      </c>
      <c r="K386" s="25">
        <f t="shared" si="52"/>
        <v>18647.87</v>
      </c>
      <c r="L386" s="25">
        <f t="shared" si="53"/>
        <v>493.81</v>
      </c>
      <c r="M386" s="25">
        <f t="shared" si="54"/>
        <v>0</v>
      </c>
      <c r="N386" s="84" t="str">
        <f t="shared" si="55"/>
        <v>ACTIVE</v>
      </c>
      <c r="O386" s="23">
        <f t="shared" si="56"/>
        <v>1</v>
      </c>
    </row>
    <row r="387" spans="1:15" ht="20" customHeight="1">
      <c r="A387" s="22" t="str">
        <f t="shared" si="60"/>
        <v>Twice Monthly</v>
      </c>
      <c r="B387" s="23">
        <f>IF($E387="","",41)</f>
        <v>41</v>
      </c>
      <c r="C387" s="24">
        <f>IF($E387="","",EDATE(Inputs!$B$9,INT(40/2))+IF(MOD(40,2)=0,0,Inputs!$B$22))</f>
        <v>46900</v>
      </c>
      <c r="D387" s="23">
        <f t="shared" si="61"/>
        <v>15</v>
      </c>
      <c r="E387" s="25">
        <f t="shared" si="62"/>
        <v>18647.87</v>
      </c>
      <c r="F387" s="25">
        <f>IF($E387="","",ROUND(MIN(Comparison!$C$5,MAX(0,$E387+$H387)),2))</f>
        <v>493.81</v>
      </c>
      <c r="G387" s="25">
        <f>IF($E387="","",ROUND(MIN(Inputs!$B$10,MAX(0,$E387+$H387-$F387)),2))</f>
        <v>0</v>
      </c>
      <c r="H387" s="25">
        <f>IF($E387="","",ROUND(IF(Inputs!$B$12="Daily Simple Interest",$E387*Inputs!$B$6/Inputs!$B$17*$D387,$E387*Inputs!$B$6/Inputs!$B$19),2))</f>
        <v>55.56</v>
      </c>
      <c r="I387" s="25">
        <f t="shared" si="51"/>
        <v>438.25</v>
      </c>
      <c r="J387" s="25">
        <f>IF($E387="","",IF($F387+$G387&gt;0,Inputs!$B$11,0))</f>
        <v>0</v>
      </c>
      <c r="K387" s="25">
        <f t="shared" si="52"/>
        <v>18209.62</v>
      </c>
      <c r="L387" s="25">
        <f t="shared" si="53"/>
        <v>493.81</v>
      </c>
      <c r="M387" s="25">
        <f t="shared" si="54"/>
        <v>0</v>
      </c>
      <c r="N387" s="84" t="str">
        <f t="shared" si="55"/>
        <v>ACTIVE</v>
      </c>
      <c r="O387" s="23">
        <f t="shared" si="56"/>
        <v>1</v>
      </c>
    </row>
    <row r="388" spans="1:15" ht="20" customHeight="1">
      <c r="A388" s="22" t="str">
        <f t="shared" si="60"/>
        <v>Twice Monthly</v>
      </c>
      <c r="B388" s="23">
        <f>IF($E388="","",42)</f>
        <v>42</v>
      </c>
      <c r="C388" s="24">
        <f>IF($E388="","",EDATE(Inputs!$B$9,INT(41/2))+IF(MOD(41,2)=0,0,Inputs!$B$22))</f>
        <v>46915</v>
      </c>
      <c r="D388" s="23">
        <f t="shared" si="61"/>
        <v>15</v>
      </c>
      <c r="E388" s="25">
        <f t="shared" si="62"/>
        <v>18209.62</v>
      </c>
      <c r="F388" s="25">
        <f>IF($E388="","",ROUND(MIN(Comparison!$C$5,MAX(0,$E388+$H388)),2))</f>
        <v>493.81</v>
      </c>
      <c r="G388" s="25">
        <f>IF($E388="","",ROUND(MIN(Inputs!$B$10,MAX(0,$E388+$H388-$F388)),2))</f>
        <v>0</v>
      </c>
      <c r="H388" s="25">
        <f>IF($E388="","",ROUND(IF(Inputs!$B$12="Daily Simple Interest",$E388*Inputs!$B$6/Inputs!$B$17*$D388,$E388*Inputs!$B$6/Inputs!$B$19),2))</f>
        <v>54.25</v>
      </c>
      <c r="I388" s="25">
        <f t="shared" si="51"/>
        <v>439.56</v>
      </c>
      <c r="J388" s="25">
        <f>IF($E388="","",IF($F388+$G388&gt;0,Inputs!$B$11,0))</f>
        <v>0</v>
      </c>
      <c r="K388" s="25">
        <f t="shared" si="52"/>
        <v>17770.060000000001</v>
      </c>
      <c r="L388" s="25">
        <f t="shared" si="53"/>
        <v>493.81</v>
      </c>
      <c r="M388" s="25">
        <f t="shared" si="54"/>
        <v>0</v>
      </c>
      <c r="N388" s="84" t="str">
        <f t="shared" si="55"/>
        <v>ACTIVE</v>
      </c>
      <c r="O388" s="23">
        <f t="shared" si="56"/>
        <v>1</v>
      </c>
    </row>
    <row r="389" spans="1:15" ht="20" customHeight="1">
      <c r="A389" s="22" t="str">
        <f t="shared" si="60"/>
        <v>Twice Monthly</v>
      </c>
      <c r="B389" s="23">
        <f>IF($E389="","",43)</f>
        <v>43</v>
      </c>
      <c r="C389" s="24">
        <f>IF($E389="","",EDATE(Inputs!$B$9,INT(42/2))+IF(MOD(42,2)=0,0,Inputs!$B$22))</f>
        <v>46931</v>
      </c>
      <c r="D389" s="23">
        <f t="shared" si="61"/>
        <v>16</v>
      </c>
      <c r="E389" s="25">
        <f t="shared" si="62"/>
        <v>17770.060000000001</v>
      </c>
      <c r="F389" s="25">
        <f>IF($E389="","",ROUND(MIN(Comparison!$C$5,MAX(0,$E389+$H389)),2))</f>
        <v>493.81</v>
      </c>
      <c r="G389" s="25">
        <f>IF($E389="","",ROUND(MIN(Inputs!$B$10,MAX(0,$E389+$H389-$F389)),2))</f>
        <v>0</v>
      </c>
      <c r="H389" s="25">
        <f>IF($E389="","",ROUND(IF(Inputs!$B$12="Daily Simple Interest",$E389*Inputs!$B$6/Inputs!$B$17*$D389,$E389*Inputs!$B$6/Inputs!$B$19),2))</f>
        <v>56.47</v>
      </c>
      <c r="I389" s="25">
        <f t="shared" si="51"/>
        <v>437.34</v>
      </c>
      <c r="J389" s="25">
        <f>IF($E389="","",IF($F389+$G389&gt;0,Inputs!$B$11,0))</f>
        <v>0</v>
      </c>
      <c r="K389" s="25">
        <f t="shared" si="52"/>
        <v>17332.72</v>
      </c>
      <c r="L389" s="25">
        <f t="shared" si="53"/>
        <v>493.81</v>
      </c>
      <c r="M389" s="25">
        <f t="shared" si="54"/>
        <v>0</v>
      </c>
      <c r="N389" s="84" t="str">
        <f t="shared" si="55"/>
        <v>ACTIVE</v>
      </c>
      <c r="O389" s="23">
        <f t="shared" si="56"/>
        <v>1</v>
      </c>
    </row>
    <row r="390" spans="1:15" ht="20" customHeight="1">
      <c r="A390" s="22" t="str">
        <f t="shared" si="60"/>
        <v>Twice Monthly</v>
      </c>
      <c r="B390" s="23">
        <f>IF($E390="","",44)</f>
        <v>44</v>
      </c>
      <c r="C390" s="24">
        <f>IF($E390="","",EDATE(Inputs!$B$9,INT(43/2))+IF(MOD(43,2)=0,0,Inputs!$B$22))</f>
        <v>46946</v>
      </c>
      <c r="D390" s="23">
        <f t="shared" si="61"/>
        <v>15</v>
      </c>
      <c r="E390" s="25">
        <f t="shared" si="62"/>
        <v>17332.72</v>
      </c>
      <c r="F390" s="25">
        <f>IF($E390="","",ROUND(MIN(Comparison!$C$5,MAX(0,$E390+$H390)),2))</f>
        <v>493.81</v>
      </c>
      <c r="G390" s="25">
        <f>IF($E390="","",ROUND(MIN(Inputs!$B$10,MAX(0,$E390+$H390-$F390)),2))</f>
        <v>0</v>
      </c>
      <c r="H390" s="25">
        <f>IF($E390="","",ROUND(IF(Inputs!$B$12="Daily Simple Interest",$E390*Inputs!$B$6/Inputs!$B$17*$D390,$E390*Inputs!$B$6/Inputs!$B$19),2))</f>
        <v>51.64</v>
      </c>
      <c r="I390" s="25">
        <f t="shared" si="51"/>
        <v>442.17</v>
      </c>
      <c r="J390" s="25">
        <f>IF($E390="","",IF($F390+$G390&gt;0,Inputs!$B$11,0))</f>
        <v>0</v>
      </c>
      <c r="K390" s="25">
        <f t="shared" si="52"/>
        <v>16890.55</v>
      </c>
      <c r="L390" s="25">
        <f t="shared" si="53"/>
        <v>493.81</v>
      </c>
      <c r="M390" s="25">
        <f t="shared" si="54"/>
        <v>0</v>
      </c>
      <c r="N390" s="84" t="str">
        <f t="shared" si="55"/>
        <v>ACTIVE</v>
      </c>
      <c r="O390" s="23">
        <f t="shared" si="56"/>
        <v>1</v>
      </c>
    </row>
    <row r="391" spans="1:15" ht="20" customHeight="1">
      <c r="A391" s="22" t="str">
        <f t="shared" si="60"/>
        <v>Twice Monthly</v>
      </c>
      <c r="B391" s="23">
        <f>IF($E391="","",45)</f>
        <v>45</v>
      </c>
      <c r="C391" s="24">
        <f>IF($E391="","",EDATE(Inputs!$B$9,INT(44/2))+IF(MOD(44,2)=0,0,Inputs!$B$22))</f>
        <v>46961</v>
      </c>
      <c r="D391" s="23">
        <f t="shared" si="61"/>
        <v>15</v>
      </c>
      <c r="E391" s="25">
        <f t="shared" si="62"/>
        <v>16890.55</v>
      </c>
      <c r="F391" s="25">
        <f>IF($E391="","",ROUND(MIN(Comparison!$C$5,MAX(0,$E391+$H391)),2))</f>
        <v>493.81</v>
      </c>
      <c r="G391" s="25">
        <f>IF($E391="","",ROUND(MIN(Inputs!$B$10,MAX(0,$E391+$H391-$F391)),2))</f>
        <v>0</v>
      </c>
      <c r="H391" s="25">
        <f>IF($E391="","",ROUND(IF(Inputs!$B$12="Daily Simple Interest",$E391*Inputs!$B$6/Inputs!$B$17*$D391,$E391*Inputs!$B$6/Inputs!$B$19),2))</f>
        <v>50.32</v>
      </c>
      <c r="I391" s="25">
        <f t="shared" ref="I391:I454" si="63">IF($E391="","",ROUND($F391+$G391-$H391,2))</f>
        <v>443.49</v>
      </c>
      <c r="J391" s="25">
        <f>IF($E391="","",IF($F391+$G391&gt;0,Inputs!$B$11,0))</f>
        <v>0</v>
      </c>
      <c r="K391" s="25">
        <f t="shared" ref="K391:K454" si="64">IF($E391="","",ROUND(MAX(0,$E391-$I391),2))</f>
        <v>16447.060000000001</v>
      </c>
      <c r="L391" s="25">
        <f t="shared" ref="L391:L454" si="65">IF($E391="","",$F391+$G391)</f>
        <v>493.81</v>
      </c>
      <c r="M391" s="25">
        <f t="shared" ref="M391:M454" si="66">IF($E391="","",0)</f>
        <v>0</v>
      </c>
      <c r="N391" s="84" t="str">
        <f t="shared" ref="N391:N454" si="67">IF($E391="","",IF($K391&lt;=0.005,"PAID OFF","ACTIVE"))</f>
        <v>ACTIVE</v>
      </c>
      <c r="O391" s="23">
        <f t="shared" ref="O391:O454" si="68">IF($E391="","",IF($F391+$G391&gt;0,1,0))</f>
        <v>1</v>
      </c>
    </row>
    <row r="392" spans="1:15" ht="20" customHeight="1">
      <c r="A392" s="22" t="str">
        <f t="shared" si="60"/>
        <v>Twice Monthly</v>
      </c>
      <c r="B392" s="23">
        <f>IF($E392="","",46)</f>
        <v>46</v>
      </c>
      <c r="C392" s="24">
        <f>IF($E392="","",EDATE(Inputs!$B$9,INT(45/2))+IF(MOD(45,2)=0,0,Inputs!$B$22))</f>
        <v>46976</v>
      </c>
      <c r="D392" s="23">
        <f t="shared" si="61"/>
        <v>15</v>
      </c>
      <c r="E392" s="25">
        <f t="shared" si="62"/>
        <v>16447.060000000001</v>
      </c>
      <c r="F392" s="25">
        <f>IF($E392="","",ROUND(MIN(Comparison!$C$5,MAX(0,$E392+$H392)),2))</f>
        <v>493.81</v>
      </c>
      <c r="G392" s="25">
        <f>IF($E392="","",ROUND(MIN(Inputs!$B$10,MAX(0,$E392+$H392-$F392)),2))</f>
        <v>0</v>
      </c>
      <c r="H392" s="25">
        <f>IF($E392="","",ROUND(IF(Inputs!$B$12="Daily Simple Interest",$E392*Inputs!$B$6/Inputs!$B$17*$D392,$E392*Inputs!$B$6/Inputs!$B$19),2))</f>
        <v>49</v>
      </c>
      <c r="I392" s="25">
        <f t="shared" si="63"/>
        <v>444.81</v>
      </c>
      <c r="J392" s="25">
        <f>IF($E392="","",IF($F392+$G392&gt;0,Inputs!$B$11,0))</f>
        <v>0</v>
      </c>
      <c r="K392" s="25">
        <f t="shared" si="64"/>
        <v>16002.25</v>
      </c>
      <c r="L392" s="25">
        <f t="shared" si="65"/>
        <v>493.81</v>
      </c>
      <c r="M392" s="25">
        <f t="shared" si="66"/>
        <v>0</v>
      </c>
      <c r="N392" s="84" t="str">
        <f t="shared" si="67"/>
        <v>ACTIVE</v>
      </c>
      <c r="O392" s="23">
        <f t="shared" si="68"/>
        <v>1</v>
      </c>
    </row>
    <row r="393" spans="1:15" ht="20" customHeight="1">
      <c r="A393" s="22" t="str">
        <f t="shared" si="60"/>
        <v>Twice Monthly</v>
      </c>
      <c r="B393" s="23">
        <f>IF($E393="","",47)</f>
        <v>47</v>
      </c>
      <c r="C393" s="24">
        <f>IF($E393="","",EDATE(Inputs!$B$9,INT(46/2))+IF(MOD(46,2)=0,0,Inputs!$B$22))</f>
        <v>46992</v>
      </c>
      <c r="D393" s="23">
        <f t="shared" si="61"/>
        <v>16</v>
      </c>
      <c r="E393" s="25">
        <f t="shared" si="62"/>
        <v>16002.25</v>
      </c>
      <c r="F393" s="25">
        <f>IF($E393="","",ROUND(MIN(Comparison!$C$5,MAX(0,$E393+$H393)),2))</f>
        <v>493.81</v>
      </c>
      <c r="G393" s="25">
        <f>IF($E393="","",ROUND(MIN(Inputs!$B$10,MAX(0,$E393+$H393-$F393)),2))</f>
        <v>0</v>
      </c>
      <c r="H393" s="25">
        <f>IF($E393="","",ROUND(IF(Inputs!$B$12="Daily Simple Interest",$E393*Inputs!$B$6/Inputs!$B$17*$D393,$E393*Inputs!$B$6/Inputs!$B$19),2))</f>
        <v>50.86</v>
      </c>
      <c r="I393" s="25">
        <f t="shared" si="63"/>
        <v>442.95</v>
      </c>
      <c r="J393" s="25">
        <f>IF($E393="","",IF($F393+$G393&gt;0,Inputs!$B$11,0))</f>
        <v>0</v>
      </c>
      <c r="K393" s="25">
        <f t="shared" si="64"/>
        <v>15559.3</v>
      </c>
      <c r="L393" s="25">
        <f t="shared" si="65"/>
        <v>493.81</v>
      </c>
      <c r="M393" s="25">
        <f t="shared" si="66"/>
        <v>0</v>
      </c>
      <c r="N393" s="84" t="str">
        <f t="shared" si="67"/>
        <v>ACTIVE</v>
      </c>
      <c r="O393" s="23">
        <f t="shared" si="68"/>
        <v>1</v>
      </c>
    </row>
    <row r="394" spans="1:15" ht="20" customHeight="1">
      <c r="A394" s="22" t="str">
        <f t="shared" si="60"/>
        <v>Twice Monthly</v>
      </c>
      <c r="B394" s="23">
        <f>IF($E394="","",48)</f>
        <v>48</v>
      </c>
      <c r="C394" s="24">
        <f>IF($E394="","",EDATE(Inputs!$B$9,INT(47/2))+IF(MOD(47,2)=0,0,Inputs!$B$22))</f>
        <v>47007</v>
      </c>
      <c r="D394" s="23">
        <f t="shared" si="61"/>
        <v>15</v>
      </c>
      <c r="E394" s="25">
        <f t="shared" si="62"/>
        <v>15559.3</v>
      </c>
      <c r="F394" s="25">
        <f>IF($E394="","",ROUND(MIN(Comparison!$C$5,MAX(0,$E394+$H394)),2))</f>
        <v>493.81</v>
      </c>
      <c r="G394" s="25">
        <f>IF($E394="","",ROUND(MIN(Inputs!$B$10,MAX(0,$E394+$H394-$F394)),2))</f>
        <v>0</v>
      </c>
      <c r="H394" s="25">
        <f>IF($E394="","",ROUND(IF(Inputs!$B$12="Daily Simple Interest",$E394*Inputs!$B$6/Inputs!$B$17*$D394,$E394*Inputs!$B$6/Inputs!$B$19),2))</f>
        <v>46.36</v>
      </c>
      <c r="I394" s="25">
        <f t="shared" si="63"/>
        <v>447.45</v>
      </c>
      <c r="J394" s="25">
        <f>IF($E394="","",IF($F394+$G394&gt;0,Inputs!$B$11,0))</f>
        <v>0</v>
      </c>
      <c r="K394" s="25">
        <f t="shared" si="64"/>
        <v>15111.85</v>
      </c>
      <c r="L394" s="25">
        <f t="shared" si="65"/>
        <v>493.81</v>
      </c>
      <c r="M394" s="25">
        <f t="shared" si="66"/>
        <v>0</v>
      </c>
      <c r="N394" s="84" t="str">
        <f t="shared" si="67"/>
        <v>ACTIVE</v>
      </c>
      <c r="O394" s="23">
        <f t="shared" si="68"/>
        <v>1</v>
      </c>
    </row>
    <row r="395" spans="1:15" ht="20" customHeight="1">
      <c r="A395" s="22" t="str">
        <f t="shared" si="60"/>
        <v>Twice Monthly</v>
      </c>
      <c r="B395" s="23">
        <f>IF($E395="","",49)</f>
        <v>49</v>
      </c>
      <c r="C395" s="24">
        <f>IF($E395="","",EDATE(Inputs!$B$9,INT(48/2))+IF(MOD(48,2)=0,0,Inputs!$B$22))</f>
        <v>47023</v>
      </c>
      <c r="D395" s="23">
        <f t="shared" si="61"/>
        <v>16</v>
      </c>
      <c r="E395" s="25">
        <f t="shared" si="62"/>
        <v>15111.85</v>
      </c>
      <c r="F395" s="25">
        <f>IF($E395="","",ROUND(MIN(Comparison!$C$5,MAX(0,$E395+$H395)),2))</f>
        <v>493.81</v>
      </c>
      <c r="G395" s="25">
        <f>IF($E395="","",ROUND(MIN(Inputs!$B$10,MAX(0,$E395+$H395-$F395)),2))</f>
        <v>0</v>
      </c>
      <c r="H395" s="25">
        <f>IF($E395="","",ROUND(IF(Inputs!$B$12="Daily Simple Interest",$E395*Inputs!$B$6/Inputs!$B$17*$D395,$E395*Inputs!$B$6/Inputs!$B$19),2))</f>
        <v>48.03</v>
      </c>
      <c r="I395" s="25">
        <f t="shared" si="63"/>
        <v>445.78</v>
      </c>
      <c r="J395" s="25">
        <f>IF($E395="","",IF($F395+$G395&gt;0,Inputs!$B$11,0))</f>
        <v>0</v>
      </c>
      <c r="K395" s="25">
        <f t="shared" si="64"/>
        <v>14666.07</v>
      </c>
      <c r="L395" s="25">
        <f t="shared" si="65"/>
        <v>493.81</v>
      </c>
      <c r="M395" s="25">
        <f t="shared" si="66"/>
        <v>0</v>
      </c>
      <c r="N395" s="84" t="str">
        <f t="shared" si="67"/>
        <v>ACTIVE</v>
      </c>
      <c r="O395" s="23">
        <f t="shared" si="68"/>
        <v>1</v>
      </c>
    </row>
    <row r="396" spans="1:15" ht="20" customHeight="1">
      <c r="A396" s="22" t="str">
        <f t="shared" si="60"/>
        <v>Twice Monthly</v>
      </c>
      <c r="B396" s="23">
        <f>IF($E396="","",50)</f>
        <v>50</v>
      </c>
      <c r="C396" s="24">
        <f>IF($E396="","",EDATE(Inputs!$B$9,INT(49/2))+IF(MOD(49,2)=0,0,Inputs!$B$22))</f>
        <v>47038</v>
      </c>
      <c r="D396" s="23">
        <f t="shared" si="61"/>
        <v>15</v>
      </c>
      <c r="E396" s="25">
        <f t="shared" si="62"/>
        <v>14666.07</v>
      </c>
      <c r="F396" s="25">
        <f>IF($E396="","",ROUND(MIN(Comparison!$C$5,MAX(0,$E396+$H396)),2))</f>
        <v>493.81</v>
      </c>
      <c r="G396" s="25">
        <f>IF($E396="","",ROUND(MIN(Inputs!$B$10,MAX(0,$E396+$H396-$F396)),2))</f>
        <v>0</v>
      </c>
      <c r="H396" s="25">
        <f>IF($E396="","",ROUND(IF(Inputs!$B$12="Daily Simple Interest",$E396*Inputs!$B$6/Inputs!$B$17*$D396,$E396*Inputs!$B$6/Inputs!$B$19),2))</f>
        <v>43.7</v>
      </c>
      <c r="I396" s="25">
        <f t="shared" si="63"/>
        <v>450.11</v>
      </c>
      <c r="J396" s="25">
        <f>IF($E396="","",IF($F396+$G396&gt;0,Inputs!$B$11,0))</f>
        <v>0</v>
      </c>
      <c r="K396" s="25">
        <f t="shared" si="64"/>
        <v>14215.96</v>
      </c>
      <c r="L396" s="25">
        <f t="shared" si="65"/>
        <v>493.81</v>
      </c>
      <c r="M396" s="25">
        <f t="shared" si="66"/>
        <v>0</v>
      </c>
      <c r="N396" s="84" t="str">
        <f t="shared" si="67"/>
        <v>ACTIVE</v>
      </c>
      <c r="O396" s="23">
        <f t="shared" si="68"/>
        <v>1</v>
      </c>
    </row>
    <row r="397" spans="1:15" ht="20" customHeight="1">
      <c r="A397" s="22" t="str">
        <f t="shared" si="60"/>
        <v>Twice Monthly</v>
      </c>
      <c r="B397" s="23">
        <f>IF($E397="","",51)</f>
        <v>51</v>
      </c>
      <c r="C397" s="24">
        <f>IF($E397="","",EDATE(Inputs!$B$9,INT(50/2))+IF(MOD(50,2)=0,0,Inputs!$B$22))</f>
        <v>47053</v>
      </c>
      <c r="D397" s="23">
        <f t="shared" si="61"/>
        <v>15</v>
      </c>
      <c r="E397" s="25">
        <f t="shared" si="62"/>
        <v>14215.96</v>
      </c>
      <c r="F397" s="25">
        <f>IF($E397="","",ROUND(MIN(Comparison!$C$5,MAX(0,$E397+$H397)),2))</f>
        <v>493.81</v>
      </c>
      <c r="G397" s="25">
        <f>IF($E397="","",ROUND(MIN(Inputs!$B$10,MAX(0,$E397+$H397-$F397)),2))</f>
        <v>0</v>
      </c>
      <c r="H397" s="25">
        <f>IF($E397="","",ROUND(IF(Inputs!$B$12="Daily Simple Interest",$E397*Inputs!$B$6/Inputs!$B$17*$D397,$E397*Inputs!$B$6/Inputs!$B$19),2))</f>
        <v>42.36</v>
      </c>
      <c r="I397" s="25">
        <f t="shared" si="63"/>
        <v>451.45</v>
      </c>
      <c r="J397" s="25">
        <f>IF($E397="","",IF($F397+$G397&gt;0,Inputs!$B$11,0))</f>
        <v>0</v>
      </c>
      <c r="K397" s="25">
        <f t="shared" si="64"/>
        <v>13764.51</v>
      </c>
      <c r="L397" s="25">
        <f t="shared" si="65"/>
        <v>493.81</v>
      </c>
      <c r="M397" s="25">
        <f t="shared" si="66"/>
        <v>0</v>
      </c>
      <c r="N397" s="84" t="str">
        <f t="shared" si="67"/>
        <v>ACTIVE</v>
      </c>
      <c r="O397" s="23">
        <f t="shared" si="68"/>
        <v>1</v>
      </c>
    </row>
    <row r="398" spans="1:15" ht="20" customHeight="1">
      <c r="A398" s="22" t="str">
        <f t="shared" si="60"/>
        <v>Twice Monthly</v>
      </c>
      <c r="B398" s="23">
        <f>IF($E398="","",52)</f>
        <v>52</v>
      </c>
      <c r="C398" s="24">
        <f>IF($E398="","",EDATE(Inputs!$B$9,INT(51/2))+IF(MOD(51,2)=0,0,Inputs!$B$22))</f>
        <v>47068</v>
      </c>
      <c r="D398" s="23">
        <f t="shared" si="61"/>
        <v>15</v>
      </c>
      <c r="E398" s="25">
        <f t="shared" si="62"/>
        <v>13764.51</v>
      </c>
      <c r="F398" s="25">
        <f>IF($E398="","",ROUND(MIN(Comparison!$C$5,MAX(0,$E398+$H398)),2))</f>
        <v>493.81</v>
      </c>
      <c r="G398" s="25">
        <f>IF($E398="","",ROUND(MIN(Inputs!$B$10,MAX(0,$E398+$H398-$F398)),2))</f>
        <v>0</v>
      </c>
      <c r="H398" s="25">
        <f>IF($E398="","",ROUND(IF(Inputs!$B$12="Daily Simple Interest",$E398*Inputs!$B$6/Inputs!$B$17*$D398,$E398*Inputs!$B$6/Inputs!$B$19),2))</f>
        <v>41.01</v>
      </c>
      <c r="I398" s="25">
        <f t="shared" si="63"/>
        <v>452.8</v>
      </c>
      <c r="J398" s="25">
        <f>IF($E398="","",IF($F398+$G398&gt;0,Inputs!$B$11,0))</f>
        <v>0</v>
      </c>
      <c r="K398" s="25">
        <f t="shared" si="64"/>
        <v>13311.71</v>
      </c>
      <c r="L398" s="25">
        <f t="shared" si="65"/>
        <v>493.81</v>
      </c>
      <c r="M398" s="25">
        <f t="shared" si="66"/>
        <v>0</v>
      </c>
      <c r="N398" s="84" t="str">
        <f t="shared" si="67"/>
        <v>ACTIVE</v>
      </c>
      <c r="O398" s="23">
        <f t="shared" si="68"/>
        <v>1</v>
      </c>
    </row>
    <row r="399" spans="1:15" ht="20" customHeight="1">
      <c r="A399" s="22" t="str">
        <f t="shared" si="60"/>
        <v>Twice Monthly</v>
      </c>
      <c r="B399" s="23">
        <f>IF($E399="","",53)</f>
        <v>53</v>
      </c>
      <c r="C399" s="24">
        <f>IF($E399="","",EDATE(Inputs!$B$9,INT(52/2))+IF(MOD(52,2)=0,0,Inputs!$B$22))</f>
        <v>47084</v>
      </c>
      <c r="D399" s="23">
        <f t="shared" si="61"/>
        <v>16</v>
      </c>
      <c r="E399" s="25">
        <f t="shared" si="62"/>
        <v>13311.71</v>
      </c>
      <c r="F399" s="25">
        <f>IF($E399="","",ROUND(MIN(Comparison!$C$5,MAX(0,$E399+$H399)),2))</f>
        <v>493.81</v>
      </c>
      <c r="G399" s="25">
        <f>IF($E399="","",ROUND(MIN(Inputs!$B$10,MAX(0,$E399+$H399-$F399)),2))</f>
        <v>0</v>
      </c>
      <c r="H399" s="25">
        <f>IF($E399="","",ROUND(IF(Inputs!$B$12="Daily Simple Interest",$E399*Inputs!$B$6/Inputs!$B$17*$D399,$E399*Inputs!$B$6/Inputs!$B$19),2))</f>
        <v>42.31</v>
      </c>
      <c r="I399" s="25">
        <f t="shared" si="63"/>
        <v>451.5</v>
      </c>
      <c r="J399" s="25">
        <f>IF($E399="","",IF($F399+$G399&gt;0,Inputs!$B$11,0))</f>
        <v>0</v>
      </c>
      <c r="K399" s="25">
        <f t="shared" si="64"/>
        <v>12860.21</v>
      </c>
      <c r="L399" s="25">
        <f t="shared" si="65"/>
        <v>493.81</v>
      </c>
      <c r="M399" s="25">
        <f t="shared" si="66"/>
        <v>0</v>
      </c>
      <c r="N399" s="84" t="str">
        <f t="shared" si="67"/>
        <v>ACTIVE</v>
      </c>
      <c r="O399" s="23">
        <f t="shared" si="68"/>
        <v>1</v>
      </c>
    </row>
    <row r="400" spans="1:15" ht="20" customHeight="1">
      <c r="A400" s="22" t="str">
        <f t="shared" si="60"/>
        <v>Twice Monthly</v>
      </c>
      <c r="B400" s="23">
        <f>IF($E400="","",54)</f>
        <v>54</v>
      </c>
      <c r="C400" s="24">
        <f>IF($E400="","",EDATE(Inputs!$B$9,INT(53/2))+IF(MOD(53,2)=0,0,Inputs!$B$22))</f>
        <v>47099</v>
      </c>
      <c r="D400" s="23">
        <f t="shared" si="61"/>
        <v>15</v>
      </c>
      <c r="E400" s="25">
        <f t="shared" si="62"/>
        <v>12860.21</v>
      </c>
      <c r="F400" s="25">
        <f>IF($E400="","",ROUND(MIN(Comparison!$C$5,MAX(0,$E400+$H400)),2))</f>
        <v>493.81</v>
      </c>
      <c r="G400" s="25">
        <f>IF($E400="","",ROUND(MIN(Inputs!$B$10,MAX(0,$E400+$H400-$F400)),2))</f>
        <v>0</v>
      </c>
      <c r="H400" s="25">
        <f>IF($E400="","",ROUND(IF(Inputs!$B$12="Daily Simple Interest",$E400*Inputs!$B$6/Inputs!$B$17*$D400,$E400*Inputs!$B$6/Inputs!$B$19),2))</f>
        <v>38.32</v>
      </c>
      <c r="I400" s="25">
        <f t="shared" si="63"/>
        <v>455.49</v>
      </c>
      <c r="J400" s="25">
        <f>IF($E400="","",IF($F400+$G400&gt;0,Inputs!$B$11,0))</f>
        <v>0</v>
      </c>
      <c r="K400" s="25">
        <f t="shared" si="64"/>
        <v>12404.72</v>
      </c>
      <c r="L400" s="25">
        <f t="shared" si="65"/>
        <v>493.81</v>
      </c>
      <c r="M400" s="25">
        <f t="shared" si="66"/>
        <v>0</v>
      </c>
      <c r="N400" s="84" t="str">
        <f t="shared" si="67"/>
        <v>ACTIVE</v>
      </c>
      <c r="O400" s="23">
        <f t="shared" si="68"/>
        <v>1</v>
      </c>
    </row>
    <row r="401" spans="1:15" ht="20" customHeight="1">
      <c r="A401" s="22" t="str">
        <f t="shared" si="60"/>
        <v>Twice Monthly</v>
      </c>
      <c r="B401" s="23">
        <f>IF($E401="","",55)</f>
        <v>55</v>
      </c>
      <c r="C401" s="24">
        <f>IF($E401="","",EDATE(Inputs!$B$9,INT(54/2))+IF(MOD(54,2)=0,0,Inputs!$B$22))</f>
        <v>47114</v>
      </c>
      <c r="D401" s="23">
        <f t="shared" si="61"/>
        <v>15</v>
      </c>
      <c r="E401" s="25">
        <f t="shared" si="62"/>
        <v>12404.72</v>
      </c>
      <c r="F401" s="25">
        <f>IF($E401="","",ROUND(MIN(Comparison!$C$5,MAX(0,$E401+$H401)),2))</f>
        <v>493.81</v>
      </c>
      <c r="G401" s="25">
        <f>IF($E401="","",ROUND(MIN(Inputs!$B$10,MAX(0,$E401+$H401-$F401)),2))</f>
        <v>0</v>
      </c>
      <c r="H401" s="25">
        <f>IF($E401="","",ROUND(IF(Inputs!$B$12="Daily Simple Interest",$E401*Inputs!$B$6/Inputs!$B$17*$D401,$E401*Inputs!$B$6/Inputs!$B$19),2))</f>
        <v>36.96</v>
      </c>
      <c r="I401" s="25">
        <f t="shared" si="63"/>
        <v>456.85</v>
      </c>
      <c r="J401" s="25">
        <f>IF($E401="","",IF($F401+$G401&gt;0,Inputs!$B$11,0))</f>
        <v>0</v>
      </c>
      <c r="K401" s="25">
        <f t="shared" si="64"/>
        <v>11947.87</v>
      </c>
      <c r="L401" s="25">
        <f t="shared" si="65"/>
        <v>493.81</v>
      </c>
      <c r="M401" s="25">
        <f t="shared" si="66"/>
        <v>0</v>
      </c>
      <c r="N401" s="84" t="str">
        <f t="shared" si="67"/>
        <v>ACTIVE</v>
      </c>
      <c r="O401" s="23">
        <f t="shared" si="68"/>
        <v>1</v>
      </c>
    </row>
    <row r="402" spans="1:15" ht="20" customHeight="1">
      <c r="A402" s="22" t="str">
        <f t="shared" si="60"/>
        <v>Twice Monthly</v>
      </c>
      <c r="B402" s="23">
        <f>IF($E402="","",56)</f>
        <v>56</v>
      </c>
      <c r="C402" s="24">
        <f>IF($E402="","",EDATE(Inputs!$B$9,INT(55/2))+IF(MOD(55,2)=0,0,Inputs!$B$22))</f>
        <v>47129</v>
      </c>
      <c r="D402" s="23">
        <f t="shared" si="61"/>
        <v>15</v>
      </c>
      <c r="E402" s="25">
        <f t="shared" si="62"/>
        <v>11947.87</v>
      </c>
      <c r="F402" s="25">
        <f>IF($E402="","",ROUND(MIN(Comparison!$C$5,MAX(0,$E402+$H402)),2))</f>
        <v>493.81</v>
      </c>
      <c r="G402" s="25">
        <f>IF($E402="","",ROUND(MIN(Inputs!$B$10,MAX(0,$E402+$H402-$F402)),2))</f>
        <v>0</v>
      </c>
      <c r="H402" s="25">
        <f>IF($E402="","",ROUND(IF(Inputs!$B$12="Daily Simple Interest",$E402*Inputs!$B$6/Inputs!$B$17*$D402,$E402*Inputs!$B$6/Inputs!$B$19),2))</f>
        <v>35.6</v>
      </c>
      <c r="I402" s="25">
        <f t="shared" si="63"/>
        <v>458.21</v>
      </c>
      <c r="J402" s="25">
        <f>IF($E402="","",IF($F402+$G402&gt;0,Inputs!$B$11,0))</f>
        <v>0</v>
      </c>
      <c r="K402" s="25">
        <f t="shared" si="64"/>
        <v>11489.66</v>
      </c>
      <c r="L402" s="25">
        <f t="shared" si="65"/>
        <v>493.81</v>
      </c>
      <c r="M402" s="25">
        <f t="shared" si="66"/>
        <v>0</v>
      </c>
      <c r="N402" s="84" t="str">
        <f t="shared" si="67"/>
        <v>ACTIVE</v>
      </c>
      <c r="O402" s="23">
        <f t="shared" si="68"/>
        <v>1</v>
      </c>
    </row>
    <row r="403" spans="1:15" ht="20" customHeight="1">
      <c r="A403" s="22" t="str">
        <f t="shared" si="60"/>
        <v>Twice Monthly</v>
      </c>
      <c r="B403" s="23">
        <f>IF($E403="","",57)</f>
        <v>57</v>
      </c>
      <c r="C403" s="24">
        <f>IF($E403="","",EDATE(Inputs!$B$9,INT(56/2))+IF(MOD(56,2)=0,0,Inputs!$B$22))</f>
        <v>47145</v>
      </c>
      <c r="D403" s="23">
        <f t="shared" si="61"/>
        <v>16</v>
      </c>
      <c r="E403" s="25">
        <f t="shared" si="62"/>
        <v>11489.66</v>
      </c>
      <c r="F403" s="25">
        <f>IF($E403="","",ROUND(MIN(Comparison!$C$5,MAX(0,$E403+$H403)),2))</f>
        <v>493.81</v>
      </c>
      <c r="G403" s="25">
        <f>IF($E403="","",ROUND(MIN(Inputs!$B$10,MAX(0,$E403+$H403-$F403)),2))</f>
        <v>0</v>
      </c>
      <c r="H403" s="25">
        <f>IF($E403="","",ROUND(IF(Inputs!$B$12="Daily Simple Interest",$E403*Inputs!$B$6/Inputs!$B$17*$D403,$E403*Inputs!$B$6/Inputs!$B$19),2))</f>
        <v>36.520000000000003</v>
      </c>
      <c r="I403" s="25">
        <f t="shared" si="63"/>
        <v>457.29</v>
      </c>
      <c r="J403" s="25">
        <f>IF($E403="","",IF($F403+$G403&gt;0,Inputs!$B$11,0))</f>
        <v>0</v>
      </c>
      <c r="K403" s="25">
        <f t="shared" si="64"/>
        <v>11032.37</v>
      </c>
      <c r="L403" s="25">
        <f t="shared" si="65"/>
        <v>493.81</v>
      </c>
      <c r="M403" s="25">
        <f t="shared" si="66"/>
        <v>0</v>
      </c>
      <c r="N403" s="84" t="str">
        <f t="shared" si="67"/>
        <v>ACTIVE</v>
      </c>
      <c r="O403" s="23">
        <f t="shared" si="68"/>
        <v>1</v>
      </c>
    </row>
    <row r="404" spans="1:15" ht="20" customHeight="1">
      <c r="A404" s="22" t="str">
        <f t="shared" si="60"/>
        <v>Twice Monthly</v>
      </c>
      <c r="B404" s="23">
        <f>IF($E404="","",58)</f>
        <v>58</v>
      </c>
      <c r="C404" s="24">
        <f>IF($E404="","",EDATE(Inputs!$B$9,INT(57/2))+IF(MOD(57,2)=0,0,Inputs!$B$22))</f>
        <v>47160</v>
      </c>
      <c r="D404" s="23">
        <f t="shared" si="61"/>
        <v>15</v>
      </c>
      <c r="E404" s="25">
        <f t="shared" si="62"/>
        <v>11032.37</v>
      </c>
      <c r="F404" s="25">
        <f>IF($E404="","",ROUND(MIN(Comparison!$C$5,MAX(0,$E404+$H404)),2))</f>
        <v>493.81</v>
      </c>
      <c r="G404" s="25">
        <f>IF($E404="","",ROUND(MIN(Inputs!$B$10,MAX(0,$E404+$H404-$F404)),2))</f>
        <v>0</v>
      </c>
      <c r="H404" s="25">
        <f>IF($E404="","",ROUND(IF(Inputs!$B$12="Daily Simple Interest",$E404*Inputs!$B$6/Inputs!$B$17*$D404,$E404*Inputs!$B$6/Inputs!$B$19),2))</f>
        <v>32.869999999999997</v>
      </c>
      <c r="I404" s="25">
        <f t="shared" si="63"/>
        <v>460.94</v>
      </c>
      <c r="J404" s="25">
        <f>IF($E404="","",IF($F404+$G404&gt;0,Inputs!$B$11,0))</f>
        <v>0</v>
      </c>
      <c r="K404" s="25">
        <f t="shared" si="64"/>
        <v>10571.43</v>
      </c>
      <c r="L404" s="25">
        <f t="shared" si="65"/>
        <v>493.81</v>
      </c>
      <c r="M404" s="25">
        <f t="shared" si="66"/>
        <v>0</v>
      </c>
      <c r="N404" s="84" t="str">
        <f t="shared" si="67"/>
        <v>ACTIVE</v>
      </c>
      <c r="O404" s="23">
        <f t="shared" si="68"/>
        <v>1</v>
      </c>
    </row>
    <row r="405" spans="1:15" ht="20" customHeight="1">
      <c r="A405" s="22" t="str">
        <f t="shared" si="60"/>
        <v>Twice Monthly</v>
      </c>
      <c r="B405" s="23">
        <f>IF($E405="","",59)</f>
        <v>59</v>
      </c>
      <c r="C405" s="24">
        <f>IF($E405="","",EDATE(Inputs!$B$9,INT(58/2))+IF(MOD(58,2)=0,0,Inputs!$B$22))</f>
        <v>47176</v>
      </c>
      <c r="D405" s="23">
        <f t="shared" si="61"/>
        <v>16</v>
      </c>
      <c r="E405" s="25">
        <f t="shared" si="62"/>
        <v>10571.43</v>
      </c>
      <c r="F405" s="25">
        <f>IF($E405="","",ROUND(MIN(Comparison!$C$5,MAX(0,$E405+$H405)),2))</f>
        <v>493.81</v>
      </c>
      <c r="G405" s="25">
        <f>IF($E405="","",ROUND(MIN(Inputs!$B$10,MAX(0,$E405+$H405-$F405)),2))</f>
        <v>0</v>
      </c>
      <c r="H405" s="25">
        <f>IF($E405="","",ROUND(IF(Inputs!$B$12="Daily Simple Interest",$E405*Inputs!$B$6/Inputs!$B$17*$D405,$E405*Inputs!$B$6/Inputs!$B$19),2))</f>
        <v>33.6</v>
      </c>
      <c r="I405" s="25">
        <f t="shared" si="63"/>
        <v>460.21</v>
      </c>
      <c r="J405" s="25">
        <f>IF($E405="","",IF($F405+$G405&gt;0,Inputs!$B$11,0))</f>
        <v>0</v>
      </c>
      <c r="K405" s="25">
        <f t="shared" si="64"/>
        <v>10111.219999999999</v>
      </c>
      <c r="L405" s="25">
        <f t="shared" si="65"/>
        <v>493.81</v>
      </c>
      <c r="M405" s="25">
        <f t="shared" si="66"/>
        <v>0</v>
      </c>
      <c r="N405" s="84" t="str">
        <f t="shared" si="67"/>
        <v>ACTIVE</v>
      </c>
      <c r="O405" s="23">
        <f t="shared" si="68"/>
        <v>1</v>
      </c>
    </row>
    <row r="406" spans="1:15" ht="20" customHeight="1">
      <c r="A406" s="22" t="str">
        <f t="shared" si="60"/>
        <v>Twice Monthly</v>
      </c>
      <c r="B406" s="23">
        <f>IF($E406="","",60)</f>
        <v>60</v>
      </c>
      <c r="C406" s="24">
        <f>IF($E406="","",EDATE(Inputs!$B$9,INT(59/2))+IF(MOD(59,2)=0,0,Inputs!$B$22))</f>
        <v>47191</v>
      </c>
      <c r="D406" s="23">
        <f t="shared" si="61"/>
        <v>15</v>
      </c>
      <c r="E406" s="25">
        <f t="shared" si="62"/>
        <v>10111.219999999999</v>
      </c>
      <c r="F406" s="25">
        <f>IF($E406="","",ROUND(MIN(Comparison!$C$5,MAX(0,$E406+$H406)),2))</f>
        <v>493.81</v>
      </c>
      <c r="G406" s="25">
        <f>IF($E406="","",ROUND(MIN(Inputs!$B$10,MAX(0,$E406+$H406-$F406)),2))</f>
        <v>0</v>
      </c>
      <c r="H406" s="25">
        <f>IF($E406="","",ROUND(IF(Inputs!$B$12="Daily Simple Interest",$E406*Inputs!$B$6/Inputs!$B$17*$D406,$E406*Inputs!$B$6/Inputs!$B$19),2))</f>
        <v>30.13</v>
      </c>
      <c r="I406" s="25">
        <f t="shared" si="63"/>
        <v>463.68</v>
      </c>
      <c r="J406" s="25">
        <f>IF($E406="","",IF($F406+$G406&gt;0,Inputs!$B$11,0))</f>
        <v>0</v>
      </c>
      <c r="K406" s="25">
        <f t="shared" si="64"/>
        <v>9647.5400000000009</v>
      </c>
      <c r="L406" s="25">
        <f t="shared" si="65"/>
        <v>493.81</v>
      </c>
      <c r="M406" s="25">
        <f t="shared" si="66"/>
        <v>0</v>
      </c>
      <c r="N406" s="84" t="str">
        <f t="shared" si="67"/>
        <v>ACTIVE</v>
      </c>
      <c r="O406" s="23">
        <f t="shared" si="68"/>
        <v>1</v>
      </c>
    </row>
    <row r="407" spans="1:15" ht="20" customHeight="1">
      <c r="A407" s="22" t="str">
        <f t="shared" si="60"/>
        <v>Twice Monthly</v>
      </c>
      <c r="B407" s="23">
        <f>IF($E407="","",61)</f>
        <v>61</v>
      </c>
      <c r="C407" s="24">
        <f>IF($E407="","",EDATE(Inputs!$B$9,INT(60/2))+IF(MOD(60,2)=0,0,Inputs!$B$22))</f>
        <v>47204</v>
      </c>
      <c r="D407" s="23">
        <f t="shared" si="61"/>
        <v>13</v>
      </c>
      <c r="E407" s="25">
        <f t="shared" si="62"/>
        <v>9647.5400000000009</v>
      </c>
      <c r="F407" s="25">
        <f>IF($E407="","",ROUND(MIN(Comparison!$C$5,MAX(0,$E407+$H407)),2))</f>
        <v>493.81</v>
      </c>
      <c r="G407" s="25">
        <f>IF($E407="","",ROUND(MIN(Inputs!$B$10,MAX(0,$E407+$H407-$F407)),2))</f>
        <v>0</v>
      </c>
      <c r="H407" s="25">
        <f>IF($E407="","",ROUND(IF(Inputs!$B$12="Daily Simple Interest",$E407*Inputs!$B$6/Inputs!$B$17*$D407,$E407*Inputs!$B$6/Inputs!$B$19),2))</f>
        <v>24.91</v>
      </c>
      <c r="I407" s="25">
        <f t="shared" si="63"/>
        <v>468.9</v>
      </c>
      <c r="J407" s="25">
        <f>IF($E407="","",IF($F407+$G407&gt;0,Inputs!$B$11,0))</f>
        <v>0</v>
      </c>
      <c r="K407" s="25">
        <f t="shared" si="64"/>
        <v>9178.64</v>
      </c>
      <c r="L407" s="25">
        <f t="shared" si="65"/>
        <v>493.81</v>
      </c>
      <c r="M407" s="25">
        <f t="shared" si="66"/>
        <v>0</v>
      </c>
      <c r="N407" s="84" t="str">
        <f t="shared" si="67"/>
        <v>ACTIVE</v>
      </c>
      <c r="O407" s="23">
        <f t="shared" si="68"/>
        <v>1</v>
      </c>
    </row>
    <row r="408" spans="1:15" ht="20" customHeight="1">
      <c r="A408" s="22" t="str">
        <f t="shared" si="60"/>
        <v>Twice Monthly</v>
      </c>
      <c r="B408" s="23">
        <f>IF($E408="","",62)</f>
        <v>62</v>
      </c>
      <c r="C408" s="24">
        <f>IF($E408="","",EDATE(Inputs!$B$9,INT(61/2))+IF(MOD(61,2)=0,0,Inputs!$B$22))</f>
        <v>47219</v>
      </c>
      <c r="D408" s="23">
        <f t="shared" si="61"/>
        <v>15</v>
      </c>
      <c r="E408" s="25">
        <f t="shared" si="62"/>
        <v>9178.64</v>
      </c>
      <c r="F408" s="25">
        <f>IF($E408="","",ROUND(MIN(Comparison!$C$5,MAX(0,$E408+$H408)),2))</f>
        <v>493.81</v>
      </c>
      <c r="G408" s="25">
        <f>IF($E408="","",ROUND(MIN(Inputs!$B$10,MAX(0,$E408+$H408-$F408)),2))</f>
        <v>0</v>
      </c>
      <c r="H408" s="25">
        <f>IF($E408="","",ROUND(IF(Inputs!$B$12="Daily Simple Interest",$E408*Inputs!$B$6/Inputs!$B$17*$D408,$E408*Inputs!$B$6/Inputs!$B$19),2))</f>
        <v>27.35</v>
      </c>
      <c r="I408" s="25">
        <f t="shared" si="63"/>
        <v>466.46</v>
      </c>
      <c r="J408" s="25">
        <f>IF($E408="","",IF($F408+$G408&gt;0,Inputs!$B$11,0))</f>
        <v>0</v>
      </c>
      <c r="K408" s="25">
        <f t="shared" si="64"/>
        <v>8712.18</v>
      </c>
      <c r="L408" s="25">
        <f t="shared" si="65"/>
        <v>493.81</v>
      </c>
      <c r="M408" s="25">
        <f t="shared" si="66"/>
        <v>0</v>
      </c>
      <c r="N408" s="84" t="str">
        <f t="shared" si="67"/>
        <v>ACTIVE</v>
      </c>
      <c r="O408" s="23">
        <f t="shared" si="68"/>
        <v>1</v>
      </c>
    </row>
    <row r="409" spans="1:15" ht="20" customHeight="1">
      <c r="A409" s="22" t="str">
        <f t="shared" si="60"/>
        <v>Twice Monthly</v>
      </c>
      <c r="B409" s="23">
        <f>IF($E409="","",63)</f>
        <v>63</v>
      </c>
      <c r="C409" s="24">
        <f>IF($E409="","",EDATE(Inputs!$B$9,INT(62/2))+IF(MOD(62,2)=0,0,Inputs!$B$22))</f>
        <v>47235</v>
      </c>
      <c r="D409" s="23">
        <f t="shared" si="61"/>
        <v>16</v>
      </c>
      <c r="E409" s="25">
        <f t="shared" si="62"/>
        <v>8712.18</v>
      </c>
      <c r="F409" s="25">
        <f>IF($E409="","",ROUND(MIN(Comparison!$C$5,MAX(0,$E409+$H409)),2))</f>
        <v>493.81</v>
      </c>
      <c r="G409" s="25">
        <f>IF($E409="","",ROUND(MIN(Inputs!$B$10,MAX(0,$E409+$H409-$F409)),2))</f>
        <v>0</v>
      </c>
      <c r="H409" s="25">
        <f>IF($E409="","",ROUND(IF(Inputs!$B$12="Daily Simple Interest",$E409*Inputs!$B$6/Inputs!$B$17*$D409,$E409*Inputs!$B$6/Inputs!$B$19),2))</f>
        <v>27.69</v>
      </c>
      <c r="I409" s="25">
        <f t="shared" si="63"/>
        <v>466.12</v>
      </c>
      <c r="J409" s="25">
        <f>IF($E409="","",IF($F409+$G409&gt;0,Inputs!$B$11,0))</f>
        <v>0</v>
      </c>
      <c r="K409" s="25">
        <f t="shared" si="64"/>
        <v>8246.06</v>
      </c>
      <c r="L409" s="25">
        <f t="shared" si="65"/>
        <v>493.81</v>
      </c>
      <c r="M409" s="25">
        <f t="shared" si="66"/>
        <v>0</v>
      </c>
      <c r="N409" s="84" t="str">
        <f t="shared" si="67"/>
        <v>ACTIVE</v>
      </c>
      <c r="O409" s="23">
        <f t="shared" si="68"/>
        <v>1</v>
      </c>
    </row>
    <row r="410" spans="1:15" ht="20" customHeight="1">
      <c r="A410" s="22" t="str">
        <f t="shared" si="60"/>
        <v>Twice Monthly</v>
      </c>
      <c r="B410" s="23">
        <f>IF($E410="","",64)</f>
        <v>64</v>
      </c>
      <c r="C410" s="24">
        <f>IF($E410="","",EDATE(Inputs!$B$9,INT(63/2))+IF(MOD(63,2)=0,0,Inputs!$B$22))</f>
        <v>47250</v>
      </c>
      <c r="D410" s="23">
        <f t="shared" si="61"/>
        <v>15</v>
      </c>
      <c r="E410" s="25">
        <f t="shared" si="62"/>
        <v>8246.06</v>
      </c>
      <c r="F410" s="25">
        <f>IF($E410="","",ROUND(MIN(Comparison!$C$5,MAX(0,$E410+$H410)),2))</f>
        <v>493.81</v>
      </c>
      <c r="G410" s="25">
        <f>IF($E410="","",ROUND(MIN(Inputs!$B$10,MAX(0,$E410+$H410-$F410)),2))</f>
        <v>0</v>
      </c>
      <c r="H410" s="25">
        <f>IF($E410="","",ROUND(IF(Inputs!$B$12="Daily Simple Interest",$E410*Inputs!$B$6/Inputs!$B$17*$D410,$E410*Inputs!$B$6/Inputs!$B$19),2))</f>
        <v>24.57</v>
      </c>
      <c r="I410" s="25">
        <f t="shared" si="63"/>
        <v>469.24</v>
      </c>
      <c r="J410" s="25">
        <f>IF($E410="","",IF($F410+$G410&gt;0,Inputs!$B$11,0))</f>
        <v>0</v>
      </c>
      <c r="K410" s="25">
        <f t="shared" si="64"/>
        <v>7776.82</v>
      </c>
      <c r="L410" s="25">
        <f t="shared" si="65"/>
        <v>493.81</v>
      </c>
      <c r="M410" s="25">
        <f t="shared" si="66"/>
        <v>0</v>
      </c>
      <c r="N410" s="84" t="str">
        <f t="shared" si="67"/>
        <v>ACTIVE</v>
      </c>
      <c r="O410" s="23">
        <f t="shared" si="68"/>
        <v>1</v>
      </c>
    </row>
    <row r="411" spans="1:15" ht="20" customHeight="1">
      <c r="A411" s="22" t="str">
        <f t="shared" ref="A411:A474" si="69">IF($E411="","","Twice Monthly")</f>
        <v>Twice Monthly</v>
      </c>
      <c r="B411" s="23">
        <f>IF($E411="","",65)</f>
        <v>65</v>
      </c>
      <c r="C411" s="24">
        <f>IF($E411="","",EDATE(Inputs!$B$9,INT(64/2))+IF(MOD(64,2)=0,0,Inputs!$B$22))</f>
        <v>47265</v>
      </c>
      <c r="D411" s="23">
        <f t="shared" si="61"/>
        <v>15</v>
      </c>
      <c r="E411" s="25">
        <f t="shared" si="62"/>
        <v>7776.82</v>
      </c>
      <c r="F411" s="25">
        <f>IF($E411="","",ROUND(MIN(Comparison!$C$5,MAX(0,$E411+$H411)),2))</f>
        <v>493.81</v>
      </c>
      <c r="G411" s="25">
        <f>IF($E411="","",ROUND(MIN(Inputs!$B$10,MAX(0,$E411+$H411-$F411)),2))</f>
        <v>0</v>
      </c>
      <c r="H411" s="25">
        <f>IF($E411="","",ROUND(IF(Inputs!$B$12="Daily Simple Interest",$E411*Inputs!$B$6/Inputs!$B$17*$D411,$E411*Inputs!$B$6/Inputs!$B$19),2))</f>
        <v>23.17</v>
      </c>
      <c r="I411" s="25">
        <f t="shared" si="63"/>
        <v>470.64</v>
      </c>
      <c r="J411" s="25">
        <f>IF($E411="","",IF($F411+$G411&gt;0,Inputs!$B$11,0))</f>
        <v>0</v>
      </c>
      <c r="K411" s="25">
        <f t="shared" si="64"/>
        <v>7306.18</v>
      </c>
      <c r="L411" s="25">
        <f t="shared" si="65"/>
        <v>493.81</v>
      </c>
      <c r="M411" s="25">
        <f t="shared" si="66"/>
        <v>0</v>
      </c>
      <c r="N411" s="84" t="str">
        <f t="shared" si="67"/>
        <v>ACTIVE</v>
      </c>
      <c r="O411" s="23">
        <f t="shared" si="68"/>
        <v>1</v>
      </c>
    </row>
    <row r="412" spans="1:15" ht="20" customHeight="1">
      <c r="A412" s="22" t="str">
        <f t="shared" si="69"/>
        <v>Twice Monthly</v>
      </c>
      <c r="B412" s="23">
        <f>IF($E412="","",66)</f>
        <v>66</v>
      </c>
      <c r="C412" s="24">
        <f>IF($E412="","",EDATE(Inputs!$B$9,INT(65/2))+IF(MOD(65,2)=0,0,Inputs!$B$22))</f>
        <v>47280</v>
      </c>
      <c r="D412" s="23">
        <f t="shared" ref="D412:D475" si="70">IF($E412="","",$C412-$C411)</f>
        <v>15</v>
      </c>
      <c r="E412" s="25">
        <f t="shared" ref="E412:E475" si="71">IF($K411&gt;0.005,$K411,"")</f>
        <v>7306.18</v>
      </c>
      <c r="F412" s="25">
        <f>IF($E412="","",ROUND(MIN(Comparison!$C$5,MAX(0,$E412+$H412)),2))</f>
        <v>493.81</v>
      </c>
      <c r="G412" s="25">
        <f>IF($E412="","",ROUND(MIN(Inputs!$B$10,MAX(0,$E412+$H412-$F412)),2))</f>
        <v>0</v>
      </c>
      <c r="H412" s="25">
        <f>IF($E412="","",ROUND(IF(Inputs!$B$12="Daily Simple Interest",$E412*Inputs!$B$6/Inputs!$B$17*$D412,$E412*Inputs!$B$6/Inputs!$B$19),2))</f>
        <v>21.77</v>
      </c>
      <c r="I412" s="25">
        <f t="shared" si="63"/>
        <v>472.04</v>
      </c>
      <c r="J412" s="25">
        <f>IF($E412="","",IF($F412+$G412&gt;0,Inputs!$B$11,0))</f>
        <v>0</v>
      </c>
      <c r="K412" s="25">
        <f t="shared" si="64"/>
        <v>6834.14</v>
      </c>
      <c r="L412" s="25">
        <f t="shared" si="65"/>
        <v>493.81</v>
      </c>
      <c r="M412" s="25">
        <f t="shared" si="66"/>
        <v>0</v>
      </c>
      <c r="N412" s="84" t="str">
        <f t="shared" si="67"/>
        <v>ACTIVE</v>
      </c>
      <c r="O412" s="23">
        <f t="shared" si="68"/>
        <v>1</v>
      </c>
    </row>
    <row r="413" spans="1:15" ht="20" customHeight="1">
      <c r="A413" s="22" t="str">
        <f t="shared" si="69"/>
        <v>Twice Monthly</v>
      </c>
      <c r="B413" s="23">
        <f>IF($E413="","",67)</f>
        <v>67</v>
      </c>
      <c r="C413" s="24">
        <f>IF($E413="","",EDATE(Inputs!$B$9,INT(66/2))+IF(MOD(66,2)=0,0,Inputs!$B$22))</f>
        <v>47296</v>
      </c>
      <c r="D413" s="23">
        <f t="shared" si="70"/>
        <v>16</v>
      </c>
      <c r="E413" s="25">
        <f t="shared" si="71"/>
        <v>6834.14</v>
      </c>
      <c r="F413" s="25">
        <f>IF($E413="","",ROUND(MIN(Comparison!$C$5,MAX(0,$E413+$H413)),2))</f>
        <v>493.81</v>
      </c>
      <c r="G413" s="25">
        <f>IF($E413="","",ROUND(MIN(Inputs!$B$10,MAX(0,$E413+$H413-$F413)),2))</f>
        <v>0</v>
      </c>
      <c r="H413" s="25">
        <f>IF($E413="","",ROUND(IF(Inputs!$B$12="Daily Simple Interest",$E413*Inputs!$B$6/Inputs!$B$17*$D413,$E413*Inputs!$B$6/Inputs!$B$19),2))</f>
        <v>21.72</v>
      </c>
      <c r="I413" s="25">
        <f t="shared" si="63"/>
        <v>472.09</v>
      </c>
      <c r="J413" s="25">
        <f>IF($E413="","",IF($F413+$G413&gt;0,Inputs!$B$11,0))</f>
        <v>0</v>
      </c>
      <c r="K413" s="25">
        <f t="shared" si="64"/>
        <v>6362.05</v>
      </c>
      <c r="L413" s="25">
        <f t="shared" si="65"/>
        <v>493.81</v>
      </c>
      <c r="M413" s="25">
        <f t="shared" si="66"/>
        <v>0</v>
      </c>
      <c r="N413" s="84" t="str">
        <f t="shared" si="67"/>
        <v>ACTIVE</v>
      </c>
      <c r="O413" s="23">
        <f t="shared" si="68"/>
        <v>1</v>
      </c>
    </row>
    <row r="414" spans="1:15" ht="20" customHeight="1">
      <c r="A414" s="22" t="str">
        <f t="shared" si="69"/>
        <v>Twice Monthly</v>
      </c>
      <c r="B414" s="23">
        <f>IF($E414="","",68)</f>
        <v>68</v>
      </c>
      <c r="C414" s="24">
        <f>IF($E414="","",EDATE(Inputs!$B$9,INT(67/2))+IF(MOD(67,2)=0,0,Inputs!$B$22))</f>
        <v>47311</v>
      </c>
      <c r="D414" s="23">
        <f t="shared" si="70"/>
        <v>15</v>
      </c>
      <c r="E414" s="25">
        <f t="shared" si="71"/>
        <v>6362.05</v>
      </c>
      <c r="F414" s="25">
        <f>IF($E414="","",ROUND(MIN(Comparison!$C$5,MAX(0,$E414+$H414)),2))</f>
        <v>493.81</v>
      </c>
      <c r="G414" s="25">
        <f>IF($E414="","",ROUND(MIN(Inputs!$B$10,MAX(0,$E414+$H414-$F414)),2))</f>
        <v>0</v>
      </c>
      <c r="H414" s="25">
        <f>IF($E414="","",ROUND(IF(Inputs!$B$12="Daily Simple Interest",$E414*Inputs!$B$6/Inputs!$B$17*$D414,$E414*Inputs!$B$6/Inputs!$B$19),2))</f>
        <v>18.96</v>
      </c>
      <c r="I414" s="25">
        <f t="shared" si="63"/>
        <v>474.85</v>
      </c>
      <c r="J414" s="25">
        <f>IF($E414="","",IF($F414+$G414&gt;0,Inputs!$B$11,0))</f>
        <v>0</v>
      </c>
      <c r="K414" s="25">
        <f t="shared" si="64"/>
        <v>5887.2</v>
      </c>
      <c r="L414" s="25">
        <f t="shared" si="65"/>
        <v>493.81</v>
      </c>
      <c r="M414" s="25">
        <f t="shared" si="66"/>
        <v>0</v>
      </c>
      <c r="N414" s="84" t="str">
        <f t="shared" si="67"/>
        <v>ACTIVE</v>
      </c>
      <c r="O414" s="23">
        <f t="shared" si="68"/>
        <v>1</v>
      </c>
    </row>
    <row r="415" spans="1:15" ht="20" customHeight="1">
      <c r="A415" s="22" t="str">
        <f t="shared" si="69"/>
        <v>Twice Monthly</v>
      </c>
      <c r="B415" s="23">
        <f>IF($E415="","",69)</f>
        <v>69</v>
      </c>
      <c r="C415" s="24">
        <f>IF($E415="","",EDATE(Inputs!$B$9,INT(68/2))+IF(MOD(68,2)=0,0,Inputs!$B$22))</f>
        <v>47326</v>
      </c>
      <c r="D415" s="23">
        <f t="shared" si="70"/>
        <v>15</v>
      </c>
      <c r="E415" s="25">
        <f t="shared" si="71"/>
        <v>5887.2</v>
      </c>
      <c r="F415" s="25">
        <f>IF($E415="","",ROUND(MIN(Comparison!$C$5,MAX(0,$E415+$H415)),2))</f>
        <v>493.81</v>
      </c>
      <c r="G415" s="25">
        <f>IF($E415="","",ROUND(MIN(Inputs!$B$10,MAX(0,$E415+$H415-$F415)),2))</f>
        <v>0</v>
      </c>
      <c r="H415" s="25">
        <f>IF($E415="","",ROUND(IF(Inputs!$B$12="Daily Simple Interest",$E415*Inputs!$B$6/Inputs!$B$17*$D415,$E415*Inputs!$B$6/Inputs!$B$19),2))</f>
        <v>17.54</v>
      </c>
      <c r="I415" s="25">
        <f t="shared" si="63"/>
        <v>476.27</v>
      </c>
      <c r="J415" s="25">
        <f>IF($E415="","",IF($F415+$G415&gt;0,Inputs!$B$11,0))</f>
        <v>0</v>
      </c>
      <c r="K415" s="25">
        <f t="shared" si="64"/>
        <v>5410.93</v>
      </c>
      <c r="L415" s="25">
        <f t="shared" si="65"/>
        <v>493.81</v>
      </c>
      <c r="M415" s="25">
        <f t="shared" si="66"/>
        <v>0</v>
      </c>
      <c r="N415" s="84" t="str">
        <f t="shared" si="67"/>
        <v>ACTIVE</v>
      </c>
      <c r="O415" s="23">
        <f t="shared" si="68"/>
        <v>1</v>
      </c>
    </row>
    <row r="416" spans="1:15" ht="20" customHeight="1">
      <c r="A416" s="22" t="str">
        <f t="shared" si="69"/>
        <v>Twice Monthly</v>
      </c>
      <c r="B416" s="23">
        <f>IF($E416="","",70)</f>
        <v>70</v>
      </c>
      <c r="C416" s="24">
        <f>IF($E416="","",EDATE(Inputs!$B$9,INT(69/2))+IF(MOD(69,2)=0,0,Inputs!$B$22))</f>
        <v>47341</v>
      </c>
      <c r="D416" s="23">
        <f t="shared" si="70"/>
        <v>15</v>
      </c>
      <c r="E416" s="25">
        <f t="shared" si="71"/>
        <v>5410.93</v>
      </c>
      <c r="F416" s="25">
        <f>IF($E416="","",ROUND(MIN(Comparison!$C$5,MAX(0,$E416+$H416)),2))</f>
        <v>493.81</v>
      </c>
      <c r="G416" s="25">
        <f>IF($E416="","",ROUND(MIN(Inputs!$B$10,MAX(0,$E416+$H416-$F416)),2))</f>
        <v>0</v>
      </c>
      <c r="H416" s="25">
        <f>IF($E416="","",ROUND(IF(Inputs!$B$12="Daily Simple Interest",$E416*Inputs!$B$6/Inputs!$B$17*$D416,$E416*Inputs!$B$6/Inputs!$B$19),2))</f>
        <v>16.12</v>
      </c>
      <c r="I416" s="25">
        <f t="shared" si="63"/>
        <v>477.69</v>
      </c>
      <c r="J416" s="25">
        <f>IF($E416="","",IF($F416+$G416&gt;0,Inputs!$B$11,0))</f>
        <v>0</v>
      </c>
      <c r="K416" s="25">
        <f t="shared" si="64"/>
        <v>4933.24</v>
      </c>
      <c r="L416" s="25">
        <f t="shared" si="65"/>
        <v>493.81</v>
      </c>
      <c r="M416" s="25">
        <f t="shared" si="66"/>
        <v>0</v>
      </c>
      <c r="N416" s="84" t="str">
        <f t="shared" si="67"/>
        <v>ACTIVE</v>
      </c>
      <c r="O416" s="23">
        <f t="shared" si="68"/>
        <v>1</v>
      </c>
    </row>
    <row r="417" spans="1:15" ht="20" customHeight="1">
      <c r="A417" s="22" t="str">
        <f t="shared" si="69"/>
        <v>Twice Monthly</v>
      </c>
      <c r="B417" s="23">
        <f>IF($E417="","",71)</f>
        <v>71</v>
      </c>
      <c r="C417" s="24">
        <f>IF($E417="","",EDATE(Inputs!$B$9,INT(70/2))+IF(MOD(70,2)=0,0,Inputs!$B$22))</f>
        <v>47357</v>
      </c>
      <c r="D417" s="23">
        <f t="shared" si="70"/>
        <v>16</v>
      </c>
      <c r="E417" s="25">
        <f t="shared" si="71"/>
        <v>4933.24</v>
      </c>
      <c r="F417" s="25">
        <f>IF($E417="","",ROUND(MIN(Comparison!$C$5,MAX(0,$E417+$H417)),2))</f>
        <v>493.81</v>
      </c>
      <c r="G417" s="25">
        <f>IF($E417="","",ROUND(MIN(Inputs!$B$10,MAX(0,$E417+$H417-$F417)),2))</f>
        <v>0</v>
      </c>
      <c r="H417" s="25">
        <f>IF($E417="","",ROUND(IF(Inputs!$B$12="Daily Simple Interest",$E417*Inputs!$B$6/Inputs!$B$17*$D417,$E417*Inputs!$B$6/Inputs!$B$19),2))</f>
        <v>15.68</v>
      </c>
      <c r="I417" s="25">
        <f t="shared" si="63"/>
        <v>478.13</v>
      </c>
      <c r="J417" s="25">
        <f>IF($E417="","",IF($F417+$G417&gt;0,Inputs!$B$11,0))</f>
        <v>0</v>
      </c>
      <c r="K417" s="25">
        <f t="shared" si="64"/>
        <v>4455.1099999999997</v>
      </c>
      <c r="L417" s="25">
        <f t="shared" si="65"/>
        <v>493.81</v>
      </c>
      <c r="M417" s="25">
        <f t="shared" si="66"/>
        <v>0</v>
      </c>
      <c r="N417" s="84" t="str">
        <f t="shared" si="67"/>
        <v>ACTIVE</v>
      </c>
      <c r="O417" s="23">
        <f t="shared" si="68"/>
        <v>1</v>
      </c>
    </row>
    <row r="418" spans="1:15" ht="20" customHeight="1">
      <c r="A418" s="22" t="str">
        <f t="shared" si="69"/>
        <v>Twice Monthly</v>
      </c>
      <c r="B418" s="23">
        <f>IF($E418="","",72)</f>
        <v>72</v>
      </c>
      <c r="C418" s="24">
        <f>IF($E418="","",EDATE(Inputs!$B$9,INT(71/2))+IF(MOD(71,2)=0,0,Inputs!$B$22))</f>
        <v>47372</v>
      </c>
      <c r="D418" s="23">
        <f t="shared" si="70"/>
        <v>15</v>
      </c>
      <c r="E418" s="25">
        <f t="shared" si="71"/>
        <v>4455.1099999999997</v>
      </c>
      <c r="F418" s="25">
        <f>IF($E418="","",ROUND(MIN(Comparison!$C$5,MAX(0,$E418+$H418)),2))</f>
        <v>493.81</v>
      </c>
      <c r="G418" s="25">
        <f>IF($E418="","",ROUND(MIN(Inputs!$B$10,MAX(0,$E418+$H418-$F418)),2))</f>
        <v>0</v>
      </c>
      <c r="H418" s="25">
        <f>IF($E418="","",ROUND(IF(Inputs!$B$12="Daily Simple Interest",$E418*Inputs!$B$6/Inputs!$B$17*$D418,$E418*Inputs!$B$6/Inputs!$B$19),2))</f>
        <v>13.27</v>
      </c>
      <c r="I418" s="25">
        <f t="shared" si="63"/>
        <v>480.54</v>
      </c>
      <c r="J418" s="25">
        <f>IF($E418="","",IF($F418+$G418&gt;0,Inputs!$B$11,0))</f>
        <v>0</v>
      </c>
      <c r="K418" s="25">
        <f t="shared" si="64"/>
        <v>3974.57</v>
      </c>
      <c r="L418" s="25">
        <f t="shared" si="65"/>
        <v>493.81</v>
      </c>
      <c r="M418" s="25">
        <f t="shared" si="66"/>
        <v>0</v>
      </c>
      <c r="N418" s="84" t="str">
        <f t="shared" si="67"/>
        <v>ACTIVE</v>
      </c>
      <c r="O418" s="23">
        <f t="shared" si="68"/>
        <v>1</v>
      </c>
    </row>
    <row r="419" spans="1:15" ht="20" customHeight="1">
      <c r="A419" s="22" t="str">
        <f t="shared" si="69"/>
        <v>Twice Monthly</v>
      </c>
      <c r="B419" s="23">
        <f>IF($E419="","",73)</f>
        <v>73</v>
      </c>
      <c r="C419" s="24">
        <f>IF($E419="","",EDATE(Inputs!$B$9,INT(72/2))+IF(MOD(72,2)=0,0,Inputs!$B$22))</f>
        <v>47388</v>
      </c>
      <c r="D419" s="23">
        <f t="shared" si="70"/>
        <v>16</v>
      </c>
      <c r="E419" s="25">
        <f t="shared" si="71"/>
        <v>3974.57</v>
      </c>
      <c r="F419" s="25">
        <f>IF($E419="","",ROUND(MIN(Comparison!$C$5,MAX(0,$E419+$H419)),2))</f>
        <v>493.81</v>
      </c>
      <c r="G419" s="25">
        <f>IF($E419="","",ROUND(MIN(Inputs!$B$10,MAX(0,$E419+$H419-$F419)),2))</f>
        <v>0</v>
      </c>
      <c r="H419" s="25">
        <f>IF($E419="","",ROUND(IF(Inputs!$B$12="Daily Simple Interest",$E419*Inputs!$B$6/Inputs!$B$17*$D419,$E419*Inputs!$B$6/Inputs!$B$19),2))</f>
        <v>12.63</v>
      </c>
      <c r="I419" s="25">
        <f t="shared" si="63"/>
        <v>481.18</v>
      </c>
      <c r="J419" s="25">
        <f>IF($E419="","",IF($F419+$G419&gt;0,Inputs!$B$11,0))</f>
        <v>0</v>
      </c>
      <c r="K419" s="25">
        <f t="shared" si="64"/>
        <v>3493.39</v>
      </c>
      <c r="L419" s="25">
        <f t="shared" si="65"/>
        <v>493.81</v>
      </c>
      <c r="M419" s="25">
        <f t="shared" si="66"/>
        <v>0</v>
      </c>
      <c r="N419" s="84" t="str">
        <f t="shared" si="67"/>
        <v>ACTIVE</v>
      </c>
      <c r="O419" s="23">
        <f t="shared" si="68"/>
        <v>1</v>
      </c>
    </row>
    <row r="420" spans="1:15" ht="20" customHeight="1">
      <c r="A420" s="22" t="str">
        <f t="shared" si="69"/>
        <v>Twice Monthly</v>
      </c>
      <c r="B420" s="23">
        <f>IF($E420="","",74)</f>
        <v>74</v>
      </c>
      <c r="C420" s="24">
        <f>IF($E420="","",EDATE(Inputs!$B$9,INT(73/2))+IF(MOD(73,2)=0,0,Inputs!$B$22))</f>
        <v>47403</v>
      </c>
      <c r="D420" s="23">
        <f t="shared" si="70"/>
        <v>15</v>
      </c>
      <c r="E420" s="25">
        <f t="shared" si="71"/>
        <v>3493.39</v>
      </c>
      <c r="F420" s="25">
        <f>IF($E420="","",ROUND(MIN(Comparison!$C$5,MAX(0,$E420+$H420)),2))</f>
        <v>493.81</v>
      </c>
      <c r="G420" s="25">
        <f>IF($E420="","",ROUND(MIN(Inputs!$B$10,MAX(0,$E420+$H420-$F420)),2))</f>
        <v>0</v>
      </c>
      <c r="H420" s="25">
        <f>IF($E420="","",ROUND(IF(Inputs!$B$12="Daily Simple Interest",$E420*Inputs!$B$6/Inputs!$B$17*$D420,$E420*Inputs!$B$6/Inputs!$B$19),2))</f>
        <v>10.41</v>
      </c>
      <c r="I420" s="25">
        <f t="shared" si="63"/>
        <v>483.4</v>
      </c>
      <c r="J420" s="25">
        <f>IF($E420="","",IF($F420+$G420&gt;0,Inputs!$B$11,0))</f>
        <v>0</v>
      </c>
      <c r="K420" s="25">
        <f t="shared" si="64"/>
        <v>3009.99</v>
      </c>
      <c r="L420" s="25">
        <f t="shared" si="65"/>
        <v>493.81</v>
      </c>
      <c r="M420" s="25">
        <f t="shared" si="66"/>
        <v>0</v>
      </c>
      <c r="N420" s="84" t="str">
        <f t="shared" si="67"/>
        <v>ACTIVE</v>
      </c>
      <c r="O420" s="23">
        <f t="shared" si="68"/>
        <v>1</v>
      </c>
    </row>
    <row r="421" spans="1:15" ht="20" customHeight="1">
      <c r="A421" s="22" t="str">
        <f t="shared" si="69"/>
        <v>Twice Monthly</v>
      </c>
      <c r="B421" s="23">
        <f>IF($E421="","",75)</f>
        <v>75</v>
      </c>
      <c r="C421" s="24">
        <f>IF($E421="","",EDATE(Inputs!$B$9,INT(74/2))+IF(MOD(74,2)=0,0,Inputs!$B$22))</f>
        <v>47418</v>
      </c>
      <c r="D421" s="23">
        <f t="shared" si="70"/>
        <v>15</v>
      </c>
      <c r="E421" s="25">
        <f t="shared" si="71"/>
        <v>3009.99</v>
      </c>
      <c r="F421" s="25">
        <f>IF($E421="","",ROUND(MIN(Comparison!$C$5,MAX(0,$E421+$H421)),2))</f>
        <v>493.81</v>
      </c>
      <c r="G421" s="25">
        <f>IF($E421="","",ROUND(MIN(Inputs!$B$10,MAX(0,$E421+$H421-$F421)),2))</f>
        <v>0</v>
      </c>
      <c r="H421" s="25">
        <f>IF($E421="","",ROUND(IF(Inputs!$B$12="Daily Simple Interest",$E421*Inputs!$B$6/Inputs!$B$17*$D421,$E421*Inputs!$B$6/Inputs!$B$19),2))</f>
        <v>8.9700000000000006</v>
      </c>
      <c r="I421" s="25">
        <f t="shared" si="63"/>
        <v>484.84</v>
      </c>
      <c r="J421" s="25">
        <f>IF($E421="","",IF($F421+$G421&gt;0,Inputs!$B$11,0))</f>
        <v>0</v>
      </c>
      <c r="K421" s="25">
        <f t="shared" si="64"/>
        <v>2525.15</v>
      </c>
      <c r="L421" s="25">
        <f t="shared" si="65"/>
        <v>493.81</v>
      </c>
      <c r="M421" s="25">
        <f t="shared" si="66"/>
        <v>0</v>
      </c>
      <c r="N421" s="84" t="str">
        <f t="shared" si="67"/>
        <v>ACTIVE</v>
      </c>
      <c r="O421" s="23">
        <f t="shared" si="68"/>
        <v>1</v>
      </c>
    </row>
    <row r="422" spans="1:15" ht="20" customHeight="1">
      <c r="A422" s="22" t="str">
        <f t="shared" si="69"/>
        <v>Twice Monthly</v>
      </c>
      <c r="B422" s="23">
        <f>IF($E422="","",76)</f>
        <v>76</v>
      </c>
      <c r="C422" s="24">
        <f>IF($E422="","",EDATE(Inputs!$B$9,INT(75/2))+IF(MOD(75,2)=0,0,Inputs!$B$22))</f>
        <v>47433</v>
      </c>
      <c r="D422" s="23">
        <f t="shared" si="70"/>
        <v>15</v>
      </c>
      <c r="E422" s="25">
        <f t="shared" si="71"/>
        <v>2525.15</v>
      </c>
      <c r="F422" s="25">
        <f>IF($E422="","",ROUND(MIN(Comparison!$C$5,MAX(0,$E422+$H422)),2))</f>
        <v>493.81</v>
      </c>
      <c r="G422" s="25">
        <f>IF($E422="","",ROUND(MIN(Inputs!$B$10,MAX(0,$E422+$H422-$F422)),2))</f>
        <v>0</v>
      </c>
      <c r="H422" s="25">
        <f>IF($E422="","",ROUND(IF(Inputs!$B$12="Daily Simple Interest",$E422*Inputs!$B$6/Inputs!$B$17*$D422,$E422*Inputs!$B$6/Inputs!$B$19),2))</f>
        <v>7.52</v>
      </c>
      <c r="I422" s="25">
        <f t="shared" si="63"/>
        <v>486.29</v>
      </c>
      <c r="J422" s="25">
        <f>IF($E422="","",IF($F422+$G422&gt;0,Inputs!$B$11,0))</f>
        <v>0</v>
      </c>
      <c r="K422" s="25">
        <f t="shared" si="64"/>
        <v>2038.86</v>
      </c>
      <c r="L422" s="25">
        <f t="shared" si="65"/>
        <v>493.81</v>
      </c>
      <c r="M422" s="25">
        <f t="shared" si="66"/>
        <v>0</v>
      </c>
      <c r="N422" s="84" t="str">
        <f t="shared" si="67"/>
        <v>ACTIVE</v>
      </c>
      <c r="O422" s="23">
        <f t="shared" si="68"/>
        <v>1</v>
      </c>
    </row>
    <row r="423" spans="1:15" ht="20" customHeight="1">
      <c r="A423" s="22" t="str">
        <f t="shared" si="69"/>
        <v>Twice Monthly</v>
      </c>
      <c r="B423" s="23">
        <f>IF($E423="","",77)</f>
        <v>77</v>
      </c>
      <c r="C423" s="24">
        <f>IF($E423="","",EDATE(Inputs!$B$9,INT(76/2))+IF(MOD(76,2)=0,0,Inputs!$B$22))</f>
        <v>47449</v>
      </c>
      <c r="D423" s="23">
        <f t="shared" si="70"/>
        <v>16</v>
      </c>
      <c r="E423" s="25">
        <f t="shared" si="71"/>
        <v>2038.86</v>
      </c>
      <c r="F423" s="25">
        <f>IF($E423="","",ROUND(MIN(Comparison!$C$5,MAX(0,$E423+$H423)),2))</f>
        <v>493.81</v>
      </c>
      <c r="G423" s="25">
        <f>IF($E423="","",ROUND(MIN(Inputs!$B$10,MAX(0,$E423+$H423-$F423)),2))</f>
        <v>0</v>
      </c>
      <c r="H423" s="25">
        <f>IF($E423="","",ROUND(IF(Inputs!$B$12="Daily Simple Interest",$E423*Inputs!$B$6/Inputs!$B$17*$D423,$E423*Inputs!$B$6/Inputs!$B$19),2))</f>
        <v>6.48</v>
      </c>
      <c r="I423" s="25">
        <f t="shared" si="63"/>
        <v>487.33</v>
      </c>
      <c r="J423" s="25">
        <f>IF($E423="","",IF($F423+$G423&gt;0,Inputs!$B$11,0))</f>
        <v>0</v>
      </c>
      <c r="K423" s="25">
        <f t="shared" si="64"/>
        <v>1551.53</v>
      </c>
      <c r="L423" s="25">
        <f t="shared" si="65"/>
        <v>493.81</v>
      </c>
      <c r="M423" s="25">
        <f t="shared" si="66"/>
        <v>0</v>
      </c>
      <c r="N423" s="84" t="str">
        <f t="shared" si="67"/>
        <v>ACTIVE</v>
      </c>
      <c r="O423" s="23">
        <f t="shared" si="68"/>
        <v>1</v>
      </c>
    </row>
    <row r="424" spans="1:15" ht="20" customHeight="1">
      <c r="A424" s="22" t="str">
        <f t="shared" si="69"/>
        <v>Twice Monthly</v>
      </c>
      <c r="B424" s="23">
        <f>IF($E424="","",78)</f>
        <v>78</v>
      </c>
      <c r="C424" s="24">
        <f>IF($E424="","",EDATE(Inputs!$B$9,INT(77/2))+IF(MOD(77,2)=0,0,Inputs!$B$22))</f>
        <v>47464</v>
      </c>
      <c r="D424" s="23">
        <f t="shared" si="70"/>
        <v>15</v>
      </c>
      <c r="E424" s="25">
        <f t="shared" si="71"/>
        <v>1551.53</v>
      </c>
      <c r="F424" s="25">
        <f>IF($E424="","",ROUND(MIN(Comparison!$C$5,MAX(0,$E424+$H424)),2))</f>
        <v>493.81</v>
      </c>
      <c r="G424" s="25">
        <f>IF($E424="","",ROUND(MIN(Inputs!$B$10,MAX(0,$E424+$H424-$F424)),2))</f>
        <v>0</v>
      </c>
      <c r="H424" s="25">
        <f>IF($E424="","",ROUND(IF(Inputs!$B$12="Daily Simple Interest",$E424*Inputs!$B$6/Inputs!$B$17*$D424,$E424*Inputs!$B$6/Inputs!$B$19),2))</f>
        <v>4.62</v>
      </c>
      <c r="I424" s="25">
        <f t="shared" si="63"/>
        <v>489.19</v>
      </c>
      <c r="J424" s="25">
        <f>IF($E424="","",IF($F424+$G424&gt;0,Inputs!$B$11,0))</f>
        <v>0</v>
      </c>
      <c r="K424" s="25">
        <f t="shared" si="64"/>
        <v>1062.3399999999999</v>
      </c>
      <c r="L424" s="25">
        <f t="shared" si="65"/>
        <v>493.81</v>
      </c>
      <c r="M424" s="25">
        <f t="shared" si="66"/>
        <v>0</v>
      </c>
      <c r="N424" s="84" t="str">
        <f t="shared" si="67"/>
        <v>ACTIVE</v>
      </c>
      <c r="O424" s="23">
        <f t="shared" si="68"/>
        <v>1</v>
      </c>
    </row>
    <row r="425" spans="1:15" ht="20" customHeight="1">
      <c r="A425" s="22" t="str">
        <f t="shared" si="69"/>
        <v>Twice Monthly</v>
      </c>
      <c r="B425" s="23">
        <f>IF($E425="","",79)</f>
        <v>79</v>
      </c>
      <c r="C425" s="24">
        <f>IF($E425="","",EDATE(Inputs!$B$9,INT(78/2))+IF(MOD(78,2)=0,0,Inputs!$B$22))</f>
        <v>47479</v>
      </c>
      <c r="D425" s="23">
        <f t="shared" si="70"/>
        <v>15</v>
      </c>
      <c r="E425" s="25">
        <f t="shared" si="71"/>
        <v>1062.3399999999999</v>
      </c>
      <c r="F425" s="25">
        <f>IF($E425="","",ROUND(MIN(Comparison!$C$5,MAX(0,$E425+$H425)),2))</f>
        <v>493.81</v>
      </c>
      <c r="G425" s="25">
        <f>IF($E425="","",ROUND(MIN(Inputs!$B$10,MAX(0,$E425+$H425-$F425)),2))</f>
        <v>0</v>
      </c>
      <c r="H425" s="25">
        <f>IF($E425="","",ROUND(IF(Inputs!$B$12="Daily Simple Interest",$E425*Inputs!$B$6/Inputs!$B$17*$D425,$E425*Inputs!$B$6/Inputs!$B$19),2))</f>
        <v>3.17</v>
      </c>
      <c r="I425" s="25">
        <f t="shared" si="63"/>
        <v>490.64</v>
      </c>
      <c r="J425" s="25">
        <f>IF($E425="","",IF($F425+$G425&gt;0,Inputs!$B$11,0))</f>
        <v>0</v>
      </c>
      <c r="K425" s="25">
        <f t="shared" si="64"/>
        <v>571.70000000000005</v>
      </c>
      <c r="L425" s="25">
        <f t="shared" si="65"/>
        <v>493.81</v>
      </c>
      <c r="M425" s="25">
        <f t="shared" si="66"/>
        <v>0</v>
      </c>
      <c r="N425" s="84" t="str">
        <f t="shared" si="67"/>
        <v>ACTIVE</v>
      </c>
      <c r="O425" s="23">
        <f t="shared" si="68"/>
        <v>1</v>
      </c>
    </row>
    <row r="426" spans="1:15" ht="20" customHeight="1">
      <c r="A426" s="22" t="str">
        <f t="shared" si="69"/>
        <v>Twice Monthly</v>
      </c>
      <c r="B426" s="23">
        <f>IF($E426="","",80)</f>
        <v>80</v>
      </c>
      <c r="C426" s="24">
        <f>IF($E426="","",EDATE(Inputs!$B$9,INT(79/2))+IF(MOD(79,2)=0,0,Inputs!$B$22))</f>
        <v>47494</v>
      </c>
      <c r="D426" s="23">
        <f t="shared" si="70"/>
        <v>15</v>
      </c>
      <c r="E426" s="25">
        <f t="shared" si="71"/>
        <v>571.70000000000005</v>
      </c>
      <c r="F426" s="25">
        <f>IF($E426="","",ROUND(MIN(Comparison!$C$5,MAX(0,$E426+$H426)),2))</f>
        <v>493.81</v>
      </c>
      <c r="G426" s="25">
        <f>IF($E426="","",ROUND(MIN(Inputs!$B$10,MAX(0,$E426+$H426-$F426)),2))</f>
        <v>0</v>
      </c>
      <c r="H426" s="25">
        <f>IF($E426="","",ROUND(IF(Inputs!$B$12="Daily Simple Interest",$E426*Inputs!$B$6/Inputs!$B$17*$D426,$E426*Inputs!$B$6/Inputs!$B$19),2))</f>
        <v>1.7</v>
      </c>
      <c r="I426" s="25">
        <f t="shared" si="63"/>
        <v>492.11</v>
      </c>
      <c r="J426" s="25">
        <f>IF($E426="","",IF($F426+$G426&gt;0,Inputs!$B$11,0))</f>
        <v>0</v>
      </c>
      <c r="K426" s="25">
        <f t="shared" si="64"/>
        <v>79.59</v>
      </c>
      <c r="L426" s="25">
        <f t="shared" si="65"/>
        <v>493.81</v>
      </c>
      <c r="M426" s="25">
        <f t="shared" si="66"/>
        <v>0</v>
      </c>
      <c r="N426" s="84" t="str">
        <f t="shared" si="67"/>
        <v>ACTIVE</v>
      </c>
      <c r="O426" s="23">
        <f t="shared" si="68"/>
        <v>1</v>
      </c>
    </row>
    <row r="427" spans="1:15" ht="20" customHeight="1">
      <c r="A427" s="22" t="str">
        <f t="shared" si="69"/>
        <v>Twice Monthly</v>
      </c>
      <c r="B427" s="23">
        <f>IF($E427="","",81)</f>
        <v>81</v>
      </c>
      <c r="C427" s="24">
        <f>IF($E427="","",EDATE(Inputs!$B$9,INT(80/2))+IF(MOD(80,2)=0,0,Inputs!$B$22))</f>
        <v>47510</v>
      </c>
      <c r="D427" s="23">
        <f t="shared" si="70"/>
        <v>16</v>
      </c>
      <c r="E427" s="25">
        <f t="shared" si="71"/>
        <v>79.59</v>
      </c>
      <c r="F427" s="25">
        <f>IF($E427="","",ROUND(MIN(Comparison!$C$5,MAX(0,$E427+$H427)),2))</f>
        <v>79.84</v>
      </c>
      <c r="G427" s="25">
        <f>IF($E427="","",ROUND(MIN(Inputs!$B$10,MAX(0,$E427+$H427-$F427)),2))</f>
        <v>0</v>
      </c>
      <c r="H427" s="25">
        <f>IF($E427="","",ROUND(IF(Inputs!$B$12="Daily Simple Interest",$E427*Inputs!$B$6/Inputs!$B$17*$D427,$E427*Inputs!$B$6/Inputs!$B$19),2))</f>
        <v>0.25</v>
      </c>
      <c r="I427" s="25">
        <f t="shared" si="63"/>
        <v>79.59</v>
      </c>
      <c r="J427" s="25">
        <f>IF($E427="","",IF($F427+$G427&gt;0,Inputs!$B$11,0))</f>
        <v>0</v>
      </c>
      <c r="K427" s="25">
        <f t="shared" si="64"/>
        <v>0</v>
      </c>
      <c r="L427" s="25">
        <f t="shared" si="65"/>
        <v>79.84</v>
      </c>
      <c r="M427" s="25">
        <f t="shared" si="66"/>
        <v>0</v>
      </c>
      <c r="N427" s="84" t="str">
        <f t="shared" si="67"/>
        <v>PAID OFF</v>
      </c>
      <c r="O427" s="23">
        <f t="shared" si="68"/>
        <v>1</v>
      </c>
    </row>
    <row r="428" spans="1:15" ht="20" customHeight="1">
      <c r="A428" s="22" t="str">
        <f t="shared" si="69"/>
        <v/>
      </c>
      <c r="B428" s="23" t="str">
        <f>IF($E428="","",82)</f>
        <v/>
      </c>
      <c r="C428" s="24" t="str">
        <f>IF($E428="","",EDATE(Inputs!$B$9,INT(81/2))+IF(MOD(81,2)=0,0,Inputs!$B$22))</f>
        <v/>
      </c>
      <c r="D428" s="23" t="str">
        <f t="shared" si="70"/>
        <v/>
      </c>
      <c r="E428" s="25" t="str">
        <f t="shared" si="71"/>
        <v/>
      </c>
      <c r="F428" s="25" t="str">
        <f>IF($E428="","",ROUND(MIN(Comparison!$C$5,MAX(0,$E428+$H428)),2))</f>
        <v/>
      </c>
      <c r="G428" s="25" t="str">
        <f>IF($E428="","",ROUND(MIN(Inputs!$B$10,MAX(0,$E428+$H428-$F428)),2))</f>
        <v/>
      </c>
      <c r="H428" s="25" t="str">
        <f>IF($E428="","",ROUND(IF(Inputs!$B$12="Daily Simple Interest",$E428*Inputs!$B$6/Inputs!$B$17*$D428,$E428*Inputs!$B$6/Inputs!$B$19),2))</f>
        <v/>
      </c>
      <c r="I428" s="25" t="str">
        <f t="shared" si="63"/>
        <v/>
      </c>
      <c r="J428" s="25" t="str">
        <f>IF($E428="","",IF($F428+$G428&gt;0,Inputs!$B$11,0))</f>
        <v/>
      </c>
      <c r="K428" s="25" t="str">
        <f t="shared" si="64"/>
        <v/>
      </c>
      <c r="L428" s="25" t="str">
        <f t="shared" si="65"/>
        <v/>
      </c>
      <c r="M428" s="25" t="str">
        <f t="shared" si="66"/>
        <v/>
      </c>
      <c r="N428" s="84" t="str">
        <f t="shared" si="67"/>
        <v/>
      </c>
      <c r="O428" s="23" t="str">
        <f t="shared" si="68"/>
        <v/>
      </c>
    </row>
    <row r="429" spans="1:15" ht="20" customHeight="1">
      <c r="A429" s="22" t="str">
        <f t="shared" si="69"/>
        <v/>
      </c>
      <c r="B429" s="23" t="str">
        <f>IF($E429="","",83)</f>
        <v/>
      </c>
      <c r="C429" s="24" t="str">
        <f>IF($E429="","",EDATE(Inputs!$B$9,INT(82/2))+IF(MOD(82,2)=0,0,Inputs!$B$22))</f>
        <v/>
      </c>
      <c r="D429" s="23" t="str">
        <f t="shared" si="70"/>
        <v/>
      </c>
      <c r="E429" s="25" t="str">
        <f t="shared" si="71"/>
        <v/>
      </c>
      <c r="F429" s="25" t="str">
        <f>IF($E429="","",ROUND(MIN(Comparison!$C$5,MAX(0,$E429+$H429)),2))</f>
        <v/>
      </c>
      <c r="G429" s="25" t="str">
        <f>IF($E429="","",ROUND(MIN(Inputs!$B$10,MAX(0,$E429+$H429-$F429)),2))</f>
        <v/>
      </c>
      <c r="H429" s="25" t="str">
        <f>IF($E429="","",ROUND(IF(Inputs!$B$12="Daily Simple Interest",$E429*Inputs!$B$6/Inputs!$B$17*$D429,$E429*Inputs!$B$6/Inputs!$B$19),2))</f>
        <v/>
      </c>
      <c r="I429" s="25" t="str">
        <f t="shared" si="63"/>
        <v/>
      </c>
      <c r="J429" s="25" t="str">
        <f>IF($E429="","",IF($F429+$G429&gt;0,Inputs!$B$11,0))</f>
        <v/>
      </c>
      <c r="K429" s="25" t="str">
        <f t="shared" si="64"/>
        <v/>
      </c>
      <c r="L429" s="25" t="str">
        <f t="shared" si="65"/>
        <v/>
      </c>
      <c r="M429" s="25" t="str">
        <f t="shared" si="66"/>
        <v/>
      </c>
      <c r="N429" s="84" t="str">
        <f t="shared" si="67"/>
        <v/>
      </c>
      <c r="O429" s="23" t="str">
        <f t="shared" si="68"/>
        <v/>
      </c>
    </row>
    <row r="430" spans="1:15" ht="20" customHeight="1">
      <c r="A430" s="22" t="str">
        <f t="shared" si="69"/>
        <v/>
      </c>
      <c r="B430" s="23" t="str">
        <f>IF($E430="","",84)</f>
        <v/>
      </c>
      <c r="C430" s="24" t="str">
        <f>IF($E430="","",EDATE(Inputs!$B$9,INT(83/2))+IF(MOD(83,2)=0,0,Inputs!$B$22))</f>
        <v/>
      </c>
      <c r="D430" s="23" t="str">
        <f t="shared" si="70"/>
        <v/>
      </c>
      <c r="E430" s="25" t="str">
        <f t="shared" si="71"/>
        <v/>
      </c>
      <c r="F430" s="25" t="str">
        <f>IF($E430="","",ROUND(MIN(Comparison!$C$5,MAX(0,$E430+$H430)),2))</f>
        <v/>
      </c>
      <c r="G430" s="25" t="str">
        <f>IF($E430="","",ROUND(MIN(Inputs!$B$10,MAX(0,$E430+$H430-$F430)),2))</f>
        <v/>
      </c>
      <c r="H430" s="25" t="str">
        <f>IF($E430="","",ROUND(IF(Inputs!$B$12="Daily Simple Interest",$E430*Inputs!$B$6/Inputs!$B$17*$D430,$E430*Inputs!$B$6/Inputs!$B$19),2))</f>
        <v/>
      </c>
      <c r="I430" s="25" t="str">
        <f t="shared" si="63"/>
        <v/>
      </c>
      <c r="J430" s="25" t="str">
        <f>IF($E430="","",IF($F430+$G430&gt;0,Inputs!$B$11,0))</f>
        <v/>
      </c>
      <c r="K430" s="25" t="str">
        <f t="shared" si="64"/>
        <v/>
      </c>
      <c r="L430" s="25" t="str">
        <f t="shared" si="65"/>
        <v/>
      </c>
      <c r="M430" s="25" t="str">
        <f t="shared" si="66"/>
        <v/>
      </c>
      <c r="N430" s="84" t="str">
        <f t="shared" si="67"/>
        <v/>
      </c>
      <c r="O430" s="23" t="str">
        <f t="shared" si="68"/>
        <v/>
      </c>
    </row>
    <row r="431" spans="1:15" ht="20" customHeight="1">
      <c r="A431" s="22" t="str">
        <f t="shared" si="69"/>
        <v/>
      </c>
      <c r="B431" s="23" t="str">
        <f>IF($E431="","",85)</f>
        <v/>
      </c>
      <c r="C431" s="24" t="str">
        <f>IF($E431="","",EDATE(Inputs!$B$9,INT(84/2))+IF(MOD(84,2)=0,0,Inputs!$B$22))</f>
        <v/>
      </c>
      <c r="D431" s="23" t="str">
        <f t="shared" si="70"/>
        <v/>
      </c>
      <c r="E431" s="25" t="str">
        <f t="shared" si="71"/>
        <v/>
      </c>
      <c r="F431" s="25" t="str">
        <f>IF($E431="","",ROUND(MIN(Comparison!$C$5,MAX(0,$E431+$H431)),2))</f>
        <v/>
      </c>
      <c r="G431" s="25" t="str">
        <f>IF($E431="","",ROUND(MIN(Inputs!$B$10,MAX(0,$E431+$H431-$F431)),2))</f>
        <v/>
      </c>
      <c r="H431" s="25" t="str">
        <f>IF($E431="","",ROUND(IF(Inputs!$B$12="Daily Simple Interest",$E431*Inputs!$B$6/Inputs!$B$17*$D431,$E431*Inputs!$B$6/Inputs!$B$19),2))</f>
        <v/>
      </c>
      <c r="I431" s="25" t="str">
        <f t="shared" si="63"/>
        <v/>
      </c>
      <c r="J431" s="25" t="str">
        <f>IF($E431="","",IF($F431+$G431&gt;0,Inputs!$B$11,0))</f>
        <v/>
      </c>
      <c r="K431" s="25" t="str">
        <f t="shared" si="64"/>
        <v/>
      </c>
      <c r="L431" s="25" t="str">
        <f t="shared" si="65"/>
        <v/>
      </c>
      <c r="M431" s="25" t="str">
        <f t="shared" si="66"/>
        <v/>
      </c>
      <c r="N431" s="84" t="str">
        <f t="shared" si="67"/>
        <v/>
      </c>
      <c r="O431" s="23" t="str">
        <f t="shared" si="68"/>
        <v/>
      </c>
    </row>
    <row r="432" spans="1:15" ht="20" customHeight="1">
      <c r="A432" s="22" t="str">
        <f t="shared" si="69"/>
        <v/>
      </c>
      <c r="B432" s="23" t="str">
        <f>IF($E432="","",86)</f>
        <v/>
      </c>
      <c r="C432" s="24" t="str">
        <f>IF($E432="","",EDATE(Inputs!$B$9,INT(85/2))+IF(MOD(85,2)=0,0,Inputs!$B$22))</f>
        <v/>
      </c>
      <c r="D432" s="23" t="str">
        <f t="shared" si="70"/>
        <v/>
      </c>
      <c r="E432" s="25" t="str">
        <f t="shared" si="71"/>
        <v/>
      </c>
      <c r="F432" s="25" t="str">
        <f>IF($E432="","",ROUND(MIN(Comparison!$C$5,MAX(0,$E432+$H432)),2))</f>
        <v/>
      </c>
      <c r="G432" s="25" t="str">
        <f>IF($E432="","",ROUND(MIN(Inputs!$B$10,MAX(0,$E432+$H432-$F432)),2))</f>
        <v/>
      </c>
      <c r="H432" s="25" t="str">
        <f>IF($E432="","",ROUND(IF(Inputs!$B$12="Daily Simple Interest",$E432*Inputs!$B$6/Inputs!$B$17*$D432,$E432*Inputs!$B$6/Inputs!$B$19),2))</f>
        <v/>
      </c>
      <c r="I432" s="25" t="str">
        <f t="shared" si="63"/>
        <v/>
      </c>
      <c r="J432" s="25" t="str">
        <f>IF($E432="","",IF($F432+$G432&gt;0,Inputs!$B$11,0))</f>
        <v/>
      </c>
      <c r="K432" s="25" t="str">
        <f t="shared" si="64"/>
        <v/>
      </c>
      <c r="L432" s="25" t="str">
        <f t="shared" si="65"/>
        <v/>
      </c>
      <c r="M432" s="25" t="str">
        <f t="shared" si="66"/>
        <v/>
      </c>
      <c r="N432" s="84" t="str">
        <f t="shared" si="67"/>
        <v/>
      </c>
      <c r="O432" s="23" t="str">
        <f t="shared" si="68"/>
        <v/>
      </c>
    </row>
    <row r="433" spans="1:15" ht="20" customHeight="1">
      <c r="A433" s="22" t="str">
        <f t="shared" si="69"/>
        <v/>
      </c>
      <c r="B433" s="23" t="str">
        <f>IF($E433="","",87)</f>
        <v/>
      </c>
      <c r="C433" s="24" t="str">
        <f>IF($E433="","",EDATE(Inputs!$B$9,INT(86/2))+IF(MOD(86,2)=0,0,Inputs!$B$22))</f>
        <v/>
      </c>
      <c r="D433" s="23" t="str">
        <f t="shared" si="70"/>
        <v/>
      </c>
      <c r="E433" s="25" t="str">
        <f t="shared" si="71"/>
        <v/>
      </c>
      <c r="F433" s="25" t="str">
        <f>IF($E433="","",ROUND(MIN(Comparison!$C$5,MAX(0,$E433+$H433)),2))</f>
        <v/>
      </c>
      <c r="G433" s="25" t="str">
        <f>IF($E433="","",ROUND(MIN(Inputs!$B$10,MAX(0,$E433+$H433-$F433)),2))</f>
        <v/>
      </c>
      <c r="H433" s="25" t="str">
        <f>IF($E433="","",ROUND(IF(Inputs!$B$12="Daily Simple Interest",$E433*Inputs!$B$6/Inputs!$B$17*$D433,$E433*Inputs!$B$6/Inputs!$B$19),2))</f>
        <v/>
      </c>
      <c r="I433" s="25" t="str">
        <f t="shared" si="63"/>
        <v/>
      </c>
      <c r="J433" s="25" t="str">
        <f>IF($E433="","",IF($F433+$G433&gt;0,Inputs!$B$11,0))</f>
        <v/>
      </c>
      <c r="K433" s="25" t="str">
        <f t="shared" si="64"/>
        <v/>
      </c>
      <c r="L433" s="25" t="str">
        <f t="shared" si="65"/>
        <v/>
      </c>
      <c r="M433" s="25" t="str">
        <f t="shared" si="66"/>
        <v/>
      </c>
      <c r="N433" s="84" t="str">
        <f t="shared" si="67"/>
        <v/>
      </c>
      <c r="O433" s="23" t="str">
        <f t="shared" si="68"/>
        <v/>
      </c>
    </row>
    <row r="434" spans="1:15" ht="20" customHeight="1">
      <c r="A434" s="22" t="str">
        <f t="shared" si="69"/>
        <v/>
      </c>
      <c r="B434" s="23" t="str">
        <f>IF($E434="","",88)</f>
        <v/>
      </c>
      <c r="C434" s="24" t="str">
        <f>IF($E434="","",EDATE(Inputs!$B$9,INT(87/2))+IF(MOD(87,2)=0,0,Inputs!$B$22))</f>
        <v/>
      </c>
      <c r="D434" s="23" t="str">
        <f t="shared" si="70"/>
        <v/>
      </c>
      <c r="E434" s="25" t="str">
        <f t="shared" si="71"/>
        <v/>
      </c>
      <c r="F434" s="25" t="str">
        <f>IF($E434="","",ROUND(MIN(Comparison!$C$5,MAX(0,$E434+$H434)),2))</f>
        <v/>
      </c>
      <c r="G434" s="25" t="str">
        <f>IF($E434="","",ROUND(MIN(Inputs!$B$10,MAX(0,$E434+$H434-$F434)),2))</f>
        <v/>
      </c>
      <c r="H434" s="25" t="str">
        <f>IF($E434="","",ROUND(IF(Inputs!$B$12="Daily Simple Interest",$E434*Inputs!$B$6/Inputs!$B$17*$D434,$E434*Inputs!$B$6/Inputs!$B$19),2))</f>
        <v/>
      </c>
      <c r="I434" s="25" t="str">
        <f t="shared" si="63"/>
        <v/>
      </c>
      <c r="J434" s="25" t="str">
        <f>IF($E434="","",IF($F434+$G434&gt;0,Inputs!$B$11,0))</f>
        <v/>
      </c>
      <c r="K434" s="25" t="str">
        <f t="shared" si="64"/>
        <v/>
      </c>
      <c r="L434" s="25" t="str">
        <f t="shared" si="65"/>
        <v/>
      </c>
      <c r="M434" s="25" t="str">
        <f t="shared" si="66"/>
        <v/>
      </c>
      <c r="N434" s="84" t="str">
        <f t="shared" si="67"/>
        <v/>
      </c>
      <c r="O434" s="23" t="str">
        <f t="shared" si="68"/>
        <v/>
      </c>
    </row>
    <row r="435" spans="1:15" ht="20" customHeight="1">
      <c r="A435" s="22" t="str">
        <f t="shared" si="69"/>
        <v/>
      </c>
      <c r="B435" s="23" t="str">
        <f>IF($E435="","",89)</f>
        <v/>
      </c>
      <c r="C435" s="24" t="str">
        <f>IF($E435="","",EDATE(Inputs!$B$9,INT(88/2))+IF(MOD(88,2)=0,0,Inputs!$B$22))</f>
        <v/>
      </c>
      <c r="D435" s="23" t="str">
        <f t="shared" si="70"/>
        <v/>
      </c>
      <c r="E435" s="25" t="str">
        <f t="shared" si="71"/>
        <v/>
      </c>
      <c r="F435" s="25" t="str">
        <f>IF($E435="","",ROUND(MIN(Comparison!$C$5,MAX(0,$E435+$H435)),2))</f>
        <v/>
      </c>
      <c r="G435" s="25" t="str">
        <f>IF($E435="","",ROUND(MIN(Inputs!$B$10,MAX(0,$E435+$H435-$F435)),2))</f>
        <v/>
      </c>
      <c r="H435" s="25" t="str">
        <f>IF($E435="","",ROUND(IF(Inputs!$B$12="Daily Simple Interest",$E435*Inputs!$B$6/Inputs!$B$17*$D435,$E435*Inputs!$B$6/Inputs!$B$19),2))</f>
        <v/>
      </c>
      <c r="I435" s="25" t="str">
        <f t="shared" si="63"/>
        <v/>
      </c>
      <c r="J435" s="25" t="str">
        <f>IF($E435="","",IF($F435+$G435&gt;0,Inputs!$B$11,0))</f>
        <v/>
      </c>
      <c r="K435" s="25" t="str">
        <f t="shared" si="64"/>
        <v/>
      </c>
      <c r="L435" s="25" t="str">
        <f t="shared" si="65"/>
        <v/>
      </c>
      <c r="M435" s="25" t="str">
        <f t="shared" si="66"/>
        <v/>
      </c>
      <c r="N435" s="84" t="str">
        <f t="shared" si="67"/>
        <v/>
      </c>
      <c r="O435" s="23" t="str">
        <f t="shared" si="68"/>
        <v/>
      </c>
    </row>
    <row r="436" spans="1:15" ht="20" customHeight="1">
      <c r="A436" s="22" t="str">
        <f t="shared" si="69"/>
        <v/>
      </c>
      <c r="B436" s="23" t="str">
        <f>IF($E436="","",90)</f>
        <v/>
      </c>
      <c r="C436" s="24" t="str">
        <f>IF($E436="","",EDATE(Inputs!$B$9,INT(89/2))+IF(MOD(89,2)=0,0,Inputs!$B$22))</f>
        <v/>
      </c>
      <c r="D436" s="23" t="str">
        <f t="shared" si="70"/>
        <v/>
      </c>
      <c r="E436" s="25" t="str">
        <f t="shared" si="71"/>
        <v/>
      </c>
      <c r="F436" s="25" t="str">
        <f>IF($E436="","",ROUND(MIN(Comparison!$C$5,MAX(0,$E436+$H436)),2))</f>
        <v/>
      </c>
      <c r="G436" s="25" t="str">
        <f>IF($E436="","",ROUND(MIN(Inputs!$B$10,MAX(0,$E436+$H436-$F436)),2))</f>
        <v/>
      </c>
      <c r="H436" s="25" t="str">
        <f>IF($E436="","",ROUND(IF(Inputs!$B$12="Daily Simple Interest",$E436*Inputs!$B$6/Inputs!$B$17*$D436,$E436*Inputs!$B$6/Inputs!$B$19),2))</f>
        <v/>
      </c>
      <c r="I436" s="25" t="str">
        <f t="shared" si="63"/>
        <v/>
      </c>
      <c r="J436" s="25" t="str">
        <f>IF($E436="","",IF($F436+$G436&gt;0,Inputs!$B$11,0))</f>
        <v/>
      </c>
      <c r="K436" s="25" t="str">
        <f t="shared" si="64"/>
        <v/>
      </c>
      <c r="L436" s="25" t="str">
        <f t="shared" si="65"/>
        <v/>
      </c>
      <c r="M436" s="25" t="str">
        <f t="shared" si="66"/>
        <v/>
      </c>
      <c r="N436" s="84" t="str">
        <f t="shared" si="67"/>
        <v/>
      </c>
      <c r="O436" s="23" t="str">
        <f t="shared" si="68"/>
        <v/>
      </c>
    </row>
    <row r="437" spans="1:15" ht="20" customHeight="1">
      <c r="A437" s="22" t="str">
        <f t="shared" si="69"/>
        <v/>
      </c>
      <c r="B437" s="23" t="str">
        <f>IF($E437="","",91)</f>
        <v/>
      </c>
      <c r="C437" s="24" t="str">
        <f>IF($E437="","",EDATE(Inputs!$B$9,INT(90/2))+IF(MOD(90,2)=0,0,Inputs!$B$22))</f>
        <v/>
      </c>
      <c r="D437" s="23" t="str">
        <f t="shared" si="70"/>
        <v/>
      </c>
      <c r="E437" s="25" t="str">
        <f t="shared" si="71"/>
        <v/>
      </c>
      <c r="F437" s="25" t="str">
        <f>IF($E437="","",ROUND(MIN(Comparison!$C$5,MAX(0,$E437+$H437)),2))</f>
        <v/>
      </c>
      <c r="G437" s="25" t="str">
        <f>IF($E437="","",ROUND(MIN(Inputs!$B$10,MAX(0,$E437+$H437-$F437)),2))</f>
        <v/>
      </c>
      <c r="H437" s="25" t="str">
        <f>IF($E437="","",ROUND(IF(Inputs!$B$12="Daily Simple Interest",$E437*Inputs!$B$6/Inputs!$B$17*$D437,$E437*Inputs!$B$6/Inputs!$B$19),2))</f>
        <v/>
      </c>
      <c r="I437" s="25" t="str">
        <f t="shared" si="63"/>
        <v/>
      </c>
      <c r="J437" s="25" t="str">
        <f>IF($E437="","",IF($F437+$G437&gt;0,Inputs!$B$11,0))</f>
        <v/>
      </c>
      <c r="K437" s="25" t="str">
        <f t="shared" si="64"/>
        <v/>
      </c>
      <c r="L437" s="25" t="str">
        <f t="shared" si="65"/>
        <v/>
      </c>
      <c r="M437" s="25" t="str">
        <f t="shared" si="66"/>
        <v/>
      </c>
      <c r="N437" s="84" t="str">
        <f t="shared" si="67"/>
        <v/>
      </c>
      <c r="O437" s="23" t="str">
        <f t="shared" si="68"/>
        <v/>
      </c>
    </row>
    <row r="438" spans="1:15" ht="20" customHeight="1">
      <c r="A438" s="22" t="str">
        <f t="shared" si="69"/>
        <v/>
      </c>
      <c r="B438" s="23" t="str">
        <f>IF($E438="","",92)</f>
        <v/>
      </c>
      <c r="C438" s="24" t="str">
        <f>IF($E438="","",EDATE(Inputs!$B$9,INT(91/2))+IF(MOD(91,2)=0,0,Inputs!$B$22))</f>
        <v/>
      </c>
      <c r="D438" s="23" t="str">
        <f t="shared" si="70"/>
        <v/>
      </c>
      <c r="E438" s="25" t="str">
        <f t="shared" si="71"/>
        <v/>
      </c>
      <c r="F438" s="25" t="str">
        <f>IF($E438="","",ROUND(MIN(Comparison!$C$5,MAX(0,$E438+$H438)),2))</f>
        <v/>
      </c>
      <c r="G438" s="25" t="str">
        <f>IF($E438="","",ROUND(MIN(Inputs!$B$10,MAX(0,$E438+$H438-$F438)),2))</f>
        <v/>
      </c>
      <c r="H438" s="25" t="str">
        <f>IF($E438="","",ROUND(IF(Inputs!$B$12="Daily Simple Interest",$E438*Inputs!$B$6/Inputs!$B$17*$D438,$E438*Inputs!$B$6/Inputs!$B$19),2))</f>
        <v/>
      </c>
      <c r="I438" s="25" t="str">
        <f t="shared" si="63"/>
        <v/>
      </c>
      <c r="J438" s="25" t="str">
        <f>IF($E438="","",IF($F438+$G438&gt;0,Inputs!$B$11,0))</f>
        <v/>
      </c>
      <c r="K438" s="25" t="str">
        <f t="shared" si="64"/>
        <v/>
      </c>
      <c r="L438" s="25" t="str">
        <f t="shared" si="65"/>
        <v/>
      </c>
      <c r="M438" s="25" t="str">
        <f t="shared" si="66"/>
        <v/>
      </c>
      <c r="N438" s="84" t="str">
        <f t="shared" si="67"/>
        <v/>
      </c>
      <c r="O438" s="23" t="str">
        <f t="shared" si="68"/>
        <v/>
      </c>
    </row>
    <row r="439" spans="1:15" ht="20" customHeight="1">
      <c r="A439" s="22" t="str">
        <f t="shared" si="69"/>
        <v/>
      </c>
      <c r="B439" s="23" t="str">
        <f>IF($E439="","",93)</f>
        <v/>
      </c>
      <c r="C439" s="24" t="str">
        <f>IF($E439="","",EDATE(Inputs!$B$9,INT(92/2))+IF(MOD(92,2)=0,0,Inputs!$B$22))</f>
        <v/>
      </c>
      <c r="D439" s="23" t="str">
        <f t="shared" si="70"/>
        <v/>
      </c>
      <c r="E439" s="25" t="str">
        <f t="shared" si="71"/>
        <v/>
      </c>
      <c r="F439" s="25" t="str">
        <f>IF($E439="","",ROUND(MIN(Comparison!$C$5,MAX(0,$E439+$H439)),2))</f>
        <v/>
      </c>
      <c r="G439" s="25" t="str">
        <f>IF($E439="","",ROUND(MIN(Inputs!$B$10,MAX(0,$E439+$H439-$F439)),2))</f>
        <v/>
      </c>
      <c r="H439" s="25" t="str">
        <f>IF($E439="","",ROUND(IF(Inputs!$B$12="Daily Simple Interest",$E439*Inputs!$B$6/Inputs!$B$17*$D439,$E439*Inputs!$B$6/Inputs!$B$19),2))</f>
        <v/>
      </c>
      <c r="I439" s="25" t="str">
        <f t="shared" si="63"/>
        <v/>
      </c>
      <c r="J439" s="25" t="str">
        <f>IF($E439="","",IF($F439+$G439&gt;0,Inputs!$B$11,0))</f>
        <v/>
      </c>
      <c r="K439" s="25" t="str">
        <f t="shared" si="64"/>
        <v/>
      </c>
      <c r="L439" s="25" t="str">
        <f t="shared" si="65"/>
        <v/>
      </c>
      <c r="M439" s="25" t="str">
        <f t="shared" si="66"/>
        <v/>
      </c>
      <c r="N439" s="84" t="str">
        <f t="shared" si="67"/>
        <v/>
      </c>
      <c r="O439" s="23" t="str">
        <f t="shared" si="68"/>
        <v/>
      </c>
    </row>
    <row r="440" spans="1:15" ht="20" customHeight="1">
      <c r="A440" s="22" t="str">
        <f t="shared" si="69"/>
        <v/>
      </c>
      <c r="B440" s="23" t="str">
        <f>IF($E440="","",94)</f>
        <v/>
      </c>
      <c r="C440" s="24" t="str">
        <f>IF($E440="","",EDATE(Inputs!$B$9,INT(93/2))+IF(MOD(93,2)=0,0,Inputs!$B$22))</f>
        <v/>
      </c>
      <c r="D440" s="23" t="str">
        <f t="shared" si="70"/>
        <v/>
      </c>
      <c r="E440" s="25" t="str">
        <f t="shared" si="71"/>
        <v/>
      </c>
      <c r="F440" s="25" t="str">
        <f>IF($E440="","",ROUND(MIN(Comparison!$C$5,MAX(0,$E440+$H440)),2))</f>
        <v/>
      </c>
      <c r="G440" s="25" t="str">
        <f>IF($E440="","",ROUND(MIN(Inputs!$B$10,MAX(0,$E440+$H440-$F440)),2))</f>
        <v/>
      </c>
      <c r="H440" s="25" t="str">
        <f>IF($E440="","",ROUND(IF(Inputs!$B$12="Daily Simple Interest",$E440*Inputs!$B$6/Inputs!$B$17*$D440,$E440*Inputs!$B$6/Inputs!$B$19),2))</f>
        <v/>
      </c>
      <c r="I440" s="25" t="str">
        <f t="shared" si="63"/>
        <v/>
      </c>
      <c r="J440" s="25" t="str">
        <f>IF($E440="","",IF($F440+$G440&gt;0,Inputs!$B$11,0))</f>
        <v/>
      </c>
      <c r="K440" s="25" t="str">
        <f t="shared" si="64"/>
        <v/>
      </c>
      <c r="L440" s="25" t="str">
        <f t="shared" si="65"/>
        <v/>
      </c>
      <c r="M440" s="25" t="str">
        <f t="shared" si="66"/>
        <v/>
      </c>
      <c r="N440" s="84" t="str">
        <f t="shared" si="67"/>
        <v/>
      </c>
      <c r="O440" s="23" t="str">
        <f t="shared" si="68"/>
        <v/>
      </c>
    </row>
    <row r="441" spans="1:15" ht="20" customHeight="1">
      <c r="A441" s="22" t="str">
        <f t="shared" si="69"/>
        <v/>
      </c>
      <c r="B441" s="23" t="str">
        <f>IF($E441="","",95)</f>
        <v/>
      </c>
      <c r="C441" s="24" t="str">
        <f>IF($E441="","",EDATE(Inputs!$B$9,INT(94/2))+IF(MOD(94,2)=0,0,Inputs!$B$22))</f>
        <v/>
      </c>
      <c r="D441" s="23" t="str">
        <f t="shared" si="70"/>
        <v/>
      </c>
      <c r="E441" s="25" t="str">
        <f t="shared" si="71"/>
        <v/>
      </c>
      <c r="F441" s="25" t="str">
        <f>IF($E441="","",ROUND(MIN(Comparison!$C$5,MAX(0,$E441+$H441)),2))</f>
        <v/>
      </c>
      <c r="G441" s="25" t="str">
        <f>IF($E441="","",ROUND(MIN(Inputs!$B$10,MAX(0,$E441+$H441-$F441)),2))</f>
        <v/>
      </c>
      <c r="H441" s="25" t="str">
        <f>IF($E441="","",ROUND(IF(Inputs!$B$12="Daily Simple Interest",$E441*Inputs!$B$6/Inputs!$B$17*$D441,$E441*Inputs!$B$6/Inputs!$B$19),2))</f>
        <v/>
      </c>
      <c r="I441" s="25" t="str">
        <f t="shared" si="63"/>
        <v/>
      </c>
      <c r="J441" s="25" t="str">
        <f>IF($E441="","",IF($F441+$G441&gt;0,Inputs!$B$11,0))</f>
        <v/>
      </c>
      <c r="K441" s="25" t="str">
        <f t="shared" si="64"/>
        <v/>
      </c>
      <c r="L441" s="25" t="str">
        <f t="shared" si="65"/>
        <v/>
      </c>
      <c r="M441" s="25" t="str">
        <f t="shared" si="66"/>
        <v/>
      </c>
      <c r="N441" s="84" t="str">
        <f t="shared" si="67"/>
        <v/>
      </c>
      <c r="O441" s="23" t="str">
        <f t="shared" si="68"/>
        <v/>
      </c>
    </row>
    <row r="442" spans="1:15" ht="20" customHeight="1">
      <c r="A442" s="22" t="str">
        <f t="shared" si="69"/>
        <v/>
      </c>
      <c r="B442" s="23" t="str">
        <f>IF($E442="","",96)</f>
        <v/>
      </c>
      <c r="C442" s="24" t="str">
        <f>IF($E442="","",EDATE(Inputs!$B$9,INT(95/2))+IF(MOD(95,2)=0,0,Inputs!$B$22))</f>
        <v/>
      </c>
      <c r="D442" s="23" t="str">
        <f t="shared" si="70"/>
        <v/>
      </c>
      <c r="E442" s="25" t="str">
        <f t="shared" si="71"/>
        <v/>
      </c>
      <c r="F442" s="25" t="str">
        <f>IF($E442="","",ROUND(MIN(Comparison!$C$5,MAX(0,$E442+$H442)),2))</f>
        <v/>
      </c>
      <c r="G442" s="25" t="str">
        <f>IF($E442="","",ROUND(MIN(Inputs!$B$10,MAX(0,$E442+$H442-$F442)),2))</f>
        <v/>
      </c>
      <c r="H442" s="25" t="str">
        <f>IF($E442="","",ROUND(IF(Inputs!$B$12="Daily Simple Interest",$E442*Inputs!$B$6/Inputs!$B$17*$D442,$E442*Inputs!$B$6/Inputs!$B$19),2))</f>
        <v/>
      </c>
      <c r="I442" s="25" t="str">
        <f t="shared" si="63"/>
        <v/>
      </c>
      <c r="J442" s="25" t="str">
        <f>IF($E442="","",IF($F442+$G442&gt;0,Inputs!$B$11,0))</f>
        <v/>
      </c>
      <c r="K442" s="25" t="str">
        <f t="shared" si="64"/>
        <v/>
      </c>
      <c r="L442" s="25" t="str">
        <f t="shared" si="65"/>
        <v/>
      </c>
      <c r="M442" s="25" t="str">
        <f t="shared" si="66"/>
        <v/>
      </c>
      <c r="N442" s="84" t="str">
        <f t="shared" si="67"/>
        <v/>
      </c>
      <c r="O442" s="23" t="str">
        <f t="shared" si="68"/>
        <v/>
      </c>
    </row>
    <row r="443" spans="1:15" ht="20" customHeight="1">
      <c r="A443" s="22" t="str">
        <f t="shared" si="69"/>
        <v/>
      </c>
      <c r="B443" s="23" t="str">
        <f>IF($E443="","",97)</f>
        <v/>
      </c>
      <c r="C443" s="24" t="str">
        <f>IF($E443="","",EDATE(Inputs!$B$9,INT(96/2))+IF(MOD(96,2)=0,0,Inputs!$B$22))</f>
        <v/>
      </c>
      <c r="D443" s="23" t="str">
        <f t="shared" si="70"/>
        <v/>
      </c>
      <c r="E443" s="25" t="str">
        <f t="shared" si="71"/>
        <v/>
      </c>
      <c r="F443" s="25" t="str">
        <f>IF($E443="","",ROUND(MIN(Comparison!$C$5,MAX(0,$E443+$H443)),2))</f>
        <v/>
      </c>
      <c r="G443" s="25" t="str">
        <f>IF($E443="","",ROUND(MIN(Inputs!$B$10,MAX(0,$E443+$H443-$F443)),2))</f>
        <v/>
      </c>
      <c r="H443" s="25" t="str">
        <f>IF($E443="","",ROUND(IF(Inputs!$B$12="Daily Simple Interest",$E443*Inputs!$B$6/Inputs!$B$17*$D443,$E443*Inputs!$B$6/Inputs!$B$19),2))</f>
        <v/>
      </c>
      <c r="I443" s="25" t="str">
        <f t="shared" si="63"/>
        <v/>
      </c>
      <c r="J443" s="25" t="str">
        <f>IF($E443="","",IF($F443+$G443&gt;0,Inputs!$B$11,0))</f>
        <v/>
      </c>
      <c r="K443" s="25" t="str">
        <f t="shared" si="64"/>
        <v/>
      </c>
      <c r="L443" s="25" t="str">
        <f t="shared" si="65"/>
        <v/>
      </c>
      <c r="M443" s="25" t="str">
        <f t="shared" si="66"/>
        <v/>
      </c>
      <c r="N443" s="84" t="str">
        <f t="shared" si="67"/>
        <v/>
      </c>
      <c r="O443" s="23" t="str">
        <f t="shared" si="68"/>
        <v/>
      </c>
    </row>
    <row r="444" spans="1:15" ht="20" customHeight="1">
      <c r="A444" s="22" t="str">
        <f t="shared" si="69"/>
        <v/>
      </c>
      <c r="B444" s="23" t="str">
        <f>IF($E444="","",98)</f>
        <v/>
      </c>
      <c r="C444" s="24" t="str">
        <f>IF($E444="","",EDATE(Inputs!$B$9,INT(97/2))+IF(MOD(97,2)=0,0,Inputs!$B$22))</f>
        <v/>
      </c>
      <c r="D444" s="23" t="str">
        <f t="shared" si="70"/>
        <v/>
      </c>
      <c r="E444" s="25" t="str">
        <f t="shared" si="71"/>
        <v/>
      </c>
      <c r="F444" s="25" t="str">
        <f>IF($E444="","",ROUND(MIN(Comparison!$C$5,MAX(0,$E444+$H444)),2))</f>
        <v/>
      </c>
      <c r="G444" s="25" t="str">
        <f>IF($E444="","",ROUND(MIN(Inputs!$B$10,MAX(0,$E444+$H444-$F444)),2))</f>
        <v/>
      </c>
      <c r="H444" s="25" t="str">
        <f>IF($E444="","",ROUND(IF(Inputs!$B$12="Daily Simple Interest",$E444*Inputs!$B$6/Inputs!$B$17*$D444,$E444*Inputs!$B$6/Inputs!$B$19),2))</f>
        <v/>
      </c>
      <c r="I444" s="25" t="str">
        <f t="shared" si="63"/>
        <v/>
      </c>
      <c r="J444" s="25" t="str">
        <f>IF($E444="","",IF($F444+$G444&gt;0,Inputs!$B$11,0))</f>
        <v/>
      </c>
      <c r="K444" s="25" t="str">
        <f t="shared" si="64"/>
        <v/>
      </c>
      <c r="L444" s="25" t="str">
        <f t="shared" si="65"/>
        <v/>
      </c>
      <c r="M444" s="25" t="str">
        <f t="shared" si="66"/>
        <v/>
      </c>
      <c r="N444" s="84" t="str">
        <f t="shared" si="67"/>
        <v/>
      </c>
      <c r="O444" s="23" t="str">
        <f t="shared" si="68"/>
        <v/>
      </c>
    </row>
    <row r="445" spans="1:15" ht="20" customHeight="1">
      <c r="A445" s="22" t="str">
        <f t="shared" si="69"/>
        <v/>
      </c>
      <c r="B445" s="23" t="str">
        <f>IF($E445="","",99)</f>
        <v/>
      </c>
      <c r="C445" s="24" t="str">
        <f>IF($E445="","",EDATE(Inputs!$B$9,INT(98/2))+IF(MOD(98,2)=0,0,Inputs!$B$22))</f>
        <v/>
      </c>
      <c r="D445" s="23" t="str">
        <f t="shared" si="70"/>
        <v/>
      </c>
      <c r="E445" s="25" t="str">
        <f t="shared" si="71"/>
        <v/>
      </c>
      <c r="F445" s="25" t="str">
        <f>IF($E445="","",ROUND(MIN(Comparison!$C$5,MAX(0,$E445+$H445)),2))</f>
        <v/>
      </c>
      <c r="G445" s="25" t="str">
        <f>IF($E445="","",ROUND(MIN(Inputs!$B$10,MAX(0,$E445+$H445-$F445)),2))</f>
        <v/>
      </c>
      <c r="H445" s="25" t="str">
        <f>IF($E445="","",ROUND(IF(Inputs!$B$12="Daily Simple Interest",$E445*Inputs!$B$6/Inputs!$B$17*$D445,$E445*Inputs!$B$6/Inputs!$B$19),2))</f>
        <v/>
      </c>
      <c r="I445" s="25" t="str">
        <f t="shared" si="63"/>
        <v/>
      </c>
      <c r="J445" s="25" t="str">
        <f>IF($E445="","",IF($F445+$G445&gt;0,Inputs!$B$11,0))</f>
        <v/>
      </c>
      <c r="K445" s="25" t="str">
        <f t="shared" si="64"/>
        <v/>
      </c>
      <c r="L445" s="25" t="str">
        <f t="shared" si="65"/>
        <v/>
      </c>
      <c r="M445" s="25" t="str">
        <f t="shared" si="66"/>
        <v/>
      </c>
      <c r="N445" s="84" t="str">
        <f t="shared" si="67"/>
        <v/>
      </c>
      <c r="O445" s="23" t="str">
        <f t="shared" si="68"/>
        <v/>
      </c>
    </row>
    <row r="446" spans="1:15" ht="20" customHeight="1">
      <c r="A446" s="22" t="str">
        <f t="shared" si="69"/>
        <v/>
      </c>
      <c r="B446" s="23" t="str">
        <f>IF($E446="","",100)</f>
        <v/>
      </c>
      <c r="C446" s="24" t="str">
        <f>IF($E446="","",EDATE(Inputs!$B$9,INT(99/2))+IF(MOD(99,2)=0,0,Inputs!$B$22))</f>
        <v/>
      </c>
      <c r="D446" s="23" t="str">
        <f t="shared" si="70"/>
        <v/>
      </c>
      <c r="E446" s="25" t="str">
        <f t="shared" si="71"/>
        <v/>
      </c>
      <c r="F446" s="25" t="str">
        <f>IF($E446="","",ROUND(MIN(Comparison!$C$5,MAX(0,$E446+$H446)),2))</f>
        <v/>
      </c>
      <c r="G446" s="25" t="str">
        <f>IF($E446="","",ROUND(MIN(Inputs!$B$10,MAX(0,$E446+$H446-$F446)),2))</f>
        <v/>
      </c>
      <c r="H446" s="25" t="str">
        <f>IF($E446="","",ROUND(IF(Inputs!$B$12="Daily Simple Interest",$E446*Inputs!$B$6/Inputs!$B$17*$D446,$E446*Inputs!$B$6/Inputs!$B$19),2))</f>
        <v/>
      </c>
      <c r="I446" s="25" t="str">
        <f t="shared" si="63"/>
        <v/>
      </c>
      <c r="J446" s="25" t="str">
        <f>IF($E446="","",IF($F446+$G446&gt;0,Inputs!$B$11,0))</f>
        <v/>
      </c>
      <c r="K446" s="25" t="str">
        <f t="shared" si="64"/>
        <v/>
      </c>
      <c r="L446" s="25" t="str">
        <f t="shared" si="65"/>
        <v/>
      </c>
      <c r="M446" s="25" t="str">
        <f t="shared" si="66"/>
        <v/>
      </c>
      <c r="N446" s="84" t="str">
        <f t="shared" si="67"/>
        <v/>
      </c>
      <c r="O446" s="23" t="str">
        <f t="shared" si="68"/>
        <v/>
      </c>
    </row>
    <row r="447" spans="1:15" ht="20" customHeight="1">
      <c r="A447" s="22" t="str">
        <f t="shared" si="69"/>
        <v/>
      </c>
      <c r="B447" s="23" t="str">
        <f>IF($E447="","",101)</f>
        <v/>
      </c>
      <c r="C447" s="24" t="str">
        <f>IF($E447="","",EDATE(Inputs!$B$9,INT(100/2))+IF(MOD(100,2)=0,0,Inputs!$B$22))</f>
        <v/>
      </c>
      <c r="D447" s="23" t="str">
        <f t="shared" si="70"/>
        <v/>
      </c>
      <c r="E447" s="25" t="str">
        <f t="shared" si="71"/>
        <v/>
      </c>
      <c r="F447" s="25" t="str">
        <f>IF($E447="","",ROUND(MIN(Comparison!$C$5,MAX(0,$E447+$H447)),2))</f>
        <v/>
      </c>
      <c r="G447" s="25" t="str">
        <f>IF($E447="","",ROUND(MIN(Inputs!$B$10,MAX(0,$E447+$H447-$F447)),2))</f>
        <v/>
      </c>
      <c r="H447" s="25" t="str">
        <f>IF($E447="","",ROUND(IF(Inputs!$B$12="Daily Simple Interest",$E447*Inputs!$B$6/Inputs!$B$17*$D447,$E447*Inputs!$B$6/Inputs!$B$19),2))</f>
        <v/>
      </c>
      <c r="I447" s="25" t="str">
        <f t="shared" si="63"/>
        <v/>
      </c>
      <c r="J447" s="25" t="str">
        <f>IF($E447="","",IF($F447+$G447&gt;0,Inputs!$B$11,0))</f>
        <v/>
      </c>
      <c r="K447" s="25" t="str">
        <f t="shared" si="64"/>
        <v/>
      </c>
      <c r="L447" s="25" t="str">
        <f t="shared" si="65"/>
        <v/>
      </c>
      <c r="M447" s="25" t="str">
        <f t="shared" si="66"/>
        <v/>
      </c>
      <c r="N447" s="84" t="str">
        <f t="shared" si="67"/>
        <v/>
      </c>
      <c r="O447" s="23" t="str">
        <f t="shared" si="68"/>
        <v/>
      </c>
    </row>
    <row r="448" spans="1:15" ht="20" customHeight="1">
      <c r="A448" s="22" t="str">
        <f t="shared" si="69"/>
        <v/>
      </c>
      <c r="B448" s="23" t="str">
        <f>IF($E448="","",102)</f>
        <v/>
      </c>
      <c r="C448" s="24" t="str">
        <f>IF($E448="","",EDATE(Inputs!$B$9,INT(101/2))+IF(MOD(101,2)=0,0,Inputs!$B$22))</f>
        <v/>
      </c>
      <c r="D448" s="23" t="str">
        <f t="shared" si="70"/>
        <v/>
      </c>
      <c r="E448" s="25" t="str">
        <f t="shared" si="71"/>
        <v/>
      </c>
      <c r="F448" s="25" t="str">
        <f>IF($E448="","",ROUND(MIN(Comparison!$C$5,MAX(0,$E448+$H448)),2))</f>
        <v/>
      </c>
      <c r="G448" s="25" t="str">
        <f>IF($E448="","",ROUND(MIN(Inputs!$B$10,MAX(0,$E448+$H448-$F448)),2))</f>
        <v/>
      </c>
      <c r="H448" s="25" t="str">
        <f>IF($E448="","",ROUND(IF(Inputs!$B$12="Daily Simple Interest",$E448*Inputs!$B$6/Inputs!$B$17*$D448,$E448*Inputs!$B$6/Inputs!$B$19),2))</f>
        <v/>
      </c>
      <c r="I448" s="25" t="str">
        <f t="shared" si="63"/>
        <v/>
      </c>
      <c r="J448" s="25" t="str">
        <f>IF($E448="","",IF($F448+$G448&gt;0,Inputs!$B$11,0))</f>
        <v/>
      </c>
      <c r="K448" s="25" t="str">
        <f t="shared" si="64"/>
        <v/>
      </c>
      <c r="L448" s="25" t="str">
        <f t="shared" si="65"/>
        <v/>
      </c>
      <c r="M448" s="25" t="str">
        <f t="shared" si="66"/>
        <v/>
      </c>
      <c r="N448" s="84" t="str">
        <f t="shared" si="67"/>
        <v/>
      </c>
      <c r="O448" s="23" t="str">
        <f t="shared" si="68"/>
        <v/>
      </c>
    </row>
    <row r="449" spans="1:15" ht="20" customHeight="1">
      <c r="A449" s="22" t="str">
        <f t="shared" si="69"/>
        <v/>
      </c>
      <c r="B449" s="23" t="str">
        <f>IF($E449="","",103)</f>
        <v/>
      </c>
      <c r="C449" s="24" t="str">
        <f>IF($E449="","",EDATE(Inputs!$B$9,INT(102/2))+IF(MOD(102,2)=0,0,Inputs!$B$22))</f>
        <v/>
      </c>
      <c r="D449" s="23" t="str">
        <f t="shared" si="70"/>
        <v/>
      </c>
      <c r="E449" s="25" t="str">
        <f t="shared" si="71"/>
        <v/>
      </c>
      <c r="F449" s="25" t="str">
        <f>IF($E449="","",ROUND(MIN(Comparison!$C$5,MAX(0,$E449+$H449)),2))</f>
        <v/>
      </c>
      <c r="G449" s="25" t="str">
        <f>IF($E449="","",ROUND(MIN(Inputs!$B$10,MAX(0,$E449+$H449-$F449)),2))</f>
        <v/>
      </c>
      <c r="H449" s="25" t="str">
        <f>IF($E449="","",ROUND(IF(Inputs!$B$12="Daily Simple Interest",$E449*Inputs!$B$6/Inputs!$B$17*$D449,$E449*Inputs!$B$6/Inputs!$B$19),2))</f>
        <v/>
      </c>
      <c r="I449" s="25" t="str">
        <f t="shared" si="63"/>
        <v/>
      </c>
      <c r="J449" s="25" t="str">
        <f>IF($E449="","",IF($F449+$G449&gt;0,Inputs!$B$11,0))</f>
        <v/>
      </c>
      <c r="K449" s="25" t="str">
        <f t="shared" si="64"/>
        <v/>
      </c>
      <c r="L449" s="25" t="str">
        <f t="shared" si="65"/>
        <v/>
      </c>
      <c r="M449" s="25" t="str">
        <f t="shared" si="66"/>
        <v/>
      </c>
      <c r="N449" s="84" t="str">
        <f t="shared" si="67"/>
        <v/>
      </c>
      <c r="O449" s="23" t="str">
        <f t="shared" si="68"/>
        <v/>
      </c>
    </row>
    <row r="450" spans="1:15" ht="20" customHeight="1">
      <c r="A450" s="22" t="str">
        <f t="shared" si="69"/>
        <v/>
      </c>
      <c r="B450" s="23" t="str">
        <f>IF($E450="","",104)</f>
        <v/>
      </c>
      <c r="C450" s="24" t="str">
        <f>IF($E450="","",EDATE(Inputs!$B$9,INT(103/2))+IF(MOD(103,2)=0,0,Inputs!$B$22))</f>
        <v/>
      </c>
      <c r="D450" s="23" t="str">
        <f t="shared" si="70"/>
        <v/>
      </c>
      <c r="E450" s="25" t="str">
        <f t="shared" si="71"/>
        <v/>
      </c>
      <c r="F450" s="25" t="str">
        <f>IF($E450="","",ROUND(MIN(Comparison!$C$5,MAX(0,$E450+$H450)),2))</f>
        <v/>
      </c>
      <c r="G450" s="25" t="str">
        <f>IF($E450="","",ROUND(MIN(Inputs!$B$10,MAX(0,$E450+$H450-$F450)),2))</f>
        <v/>
      </c>
      <c r="H450" s="25" t="str">
        <f>IF($E450="","",ROUND(IF(Inputs!$B$12="Daily Simple Interest",$E450*Inputs!$B$6/Inputs!$B$17*$D450,$E450*Inputs!$B$6/Inputs!$B$19),2))</f>
        <v/>
      </c>
      <c r="I450" s="25" t="str">
        <f t="shared" si="63"/>
        <v/>
      </c>
      <c r="J450" s="25" t="str">
        <f>IF($E450="","",IF($F450+$G450&gt;0,Inputs!$B$11,0))</f>
        <v/>
      </c>
      <c r="K450" s="25" t="str">
        <f t="shared" si="64"/>
        <v/>
      </c>
      <c r="L450" s="25" t="str">
        <f t="shared" si="65"/>
        <v/>
      </c>
      <c r="M450" s="25" t="str">
        <f t="shared" si="66"/>
        <v/>
      </c>
      <c r="N450" s="84" t="str">
        <f t="shared" si="67"/>
        <v/>
      </c>
      <c r="O450" s="23" t="str">
        <f t="shared" si="68"/>
        <v/>
      </c>
    </row>
    <row r="451" spans="1:15" ht="20" customHeight="1">
      <c r="A451" s="22" t="str">
        <f t="shared" si="69"/>
        <v/>
      </c>
      <c r="B451" s="23" t="str">
        <f>IF($E451="","",105)</f>
        <v/>
      </c>
      <c r="C451" s="24" t="str">
        <f>IF($E451="","",EDATE(Inputs!$B$9,INT(104/2))+IF(MOD(104,2)=0,0,Inputs!$B$22))</f>
        <v/>
      </c>
      <c r="D451" s="23" t="str">
        <f t="shared" si="70"/>
        <v/>
      </c>
      <c r="E451" s="25" t="str">
        <f t="shared" si="71"/>
        <v/>
      </c>
      <c r="F451" s="25" t="str">
        <f>IF($E451="","",ROUND(MIN(Comparison!$C$5,MAX(0,$E451+$H451)),2))</f>
        <v/>
      </c>
      <c r="G451" s="25" t="str">
        <f>IF($E451="","",ROUND(MIN(Inputs!$B$10,MAX(0,$E451+$H451-$F451)),2))</f>
        <v/>
      </c>
      <c r="H451" s="25" t="str">
        <f>IF($E451="","",ROUND(IF(Inputs!$B$12="Daily Simple Interest",$E451*Inputs!$B$6/Inputs!$B$17*$D451,$E451*Inputs!$B$6/Inputs!$B$19),2))</f>
        <v/>
      </c>
      <c r="I451" s="25" t="str">
        <f t="shared" si="63"/>
        <v/>
      </c>
      <c r="J451" s="25" t="str">
        <f>IF($E451="","",IF($F451+$G451&gt;0,Inputs!$B$11,0))</f>
        <v/>
      </c>
      <c r="K451" s="25" t="str">
        <f t="shared" si="64"/>
        <v/>
      </c>
      <c r="L451" s="25" t="str">
        <f t="shared" si="65"/>
        <v/>
      </c>
      <c r="M451" s="25" t="str">
        <f t="shared" si="66"/>
        <v/>
      </c>
      <c r="N451" s="84" t="str">
        <f t="shared" si="67"/>
        <v/>
      </c>
      <c r="O451" s="23" t="str">
        <f t="shared" si="68"/>
        <v/>
      </c>
    </row>
    <row r="452" spans="1:15" ht="20" customHeight="1">
      <c r="A452" s="22" t="str">
        <f t="shared" si="69"/>
        <v/>
      </c>
      <c r="B452" s="23" t="str">
        <f>IF($E452="","",106)</f>
        <v/>
      </c>
      <c r="C452" s="24" t="str">
        <f>IF($E452="","",EDATE(Inputs!$B$9,INT(105/2))+IF(MOD(105,2)=0,0,Inputs!$B$22))</f>
        <v/>
      </c>
      <c r="D452" s="23" t="str">
        <f t="shared" si="70"/>
        <v/>
      </c>
      <c r="E452" s="25" t="str">
        <f t="shared" si="71"/>
        <v/>
      </c>
      <c r="F452" s="25" t="str">
        <f>IF($E452="","",ROUND(MIN(Comparison!$C$5,MAX(0,$E452+$H452)),2))</f>
        <v/>
      </c>
      <c r="G452" s="25" t="str">
        <f>IF($E452="","",ROUND(MIN(Inputs!$B$10,MAX(0,$E452+$H452-$F452)),2))</f>
        <v/>
      </c>
      <c r="H452" s="25" t="str">
        <f>IF($E452="","",ROUND(IF(Inputs!$B$12="Daily Simple Interest",$E452*Inputs!$B$6/Inputs!$B$17*$D452,$E452*Inputs!$B$6/Inputs!$B$19),2))</f>
        <v/>
      </c>
      <c r="I452" s="25" t="str">
        <f t="shared" si="63"/>
        <v/>
      </c>
      <c r="J452" s="25" t="str">
        <f>IF($E452="","",IF($F452+$G452&gt;0,Inputs!$B$11,0))</f>
        <v/>
      </c>
      <c r="K452" s="25" t="str">
        <f t="shared" si="64"/>
        <v/>
      </c>
      <c r="L452" s="25" t="str">
        <f t="shared" si="65"/>
        <v/>
      </c>
      <c r="M452" s="25" t="str">
        <f t="shared" si="66"/>
        <v/>
      </c>
      <c r="N452" s="84" t="str">
        <f t="shared" si="67"/>
        <v/>
      </c>
      <c r="O452" s="23" t="str">
        <f t="shared" si="68"/>
        <v/>
      </c>
    </row>
    <row r="453" spans="1:15" ht="20" customHeight="1">
      <c r="A453" s="22" t="str">
        <f t="shared" si="69"/>
        <v/>
      </c>
      <c r="B453" s="23" t="str">
        <f>IF($E453="","",107)</f>
        <v/>
      </c>
      <c r="C453" s="24" t="str">
        <f>IF($E453="","",EDATE(Inputs!$B$9,INT(106/2))+IF(MOD(106,2)=0,0,Inputs!$B$22))</f>
        <v/>
      </c>
      <c r="D453" s="23" t="str">
        <f t="shared" si="70"/>
        <v/>
      </c>
      <c r="E453" s="25" t="str">
        <f t="shared" si="71"/>
        <v/>
      </c>
      <c r="F453" s="25" t="str">
        <f>IF($E453="","",ROUND(MIN(Comparison!$C$5,MAX(0,$E453+$H453)),2))</f>
        <v/>
      </c>
      <c r="G453" s="25" t="str">
        <f>IF($E453="","",ROUND(MIN(Inputs!$B$10,MAX(0,$E453+$H453-$F453)),2))</f>
        <v/>
      </c>
      <c r="H453" s="25" t="str">
        <f>IF($E453="","",ROUND(IF(Inputs!$B$12="Daily Simple Interest",$E453*Inputs!$B$6/Inputs!$B$17*$D453,$E453*Inputs!$B$6/Inputs!$B$19),2))</f>
        <v/>
      </c>
      <c r="I453" s="25" t="str">
        <f t="shared" si="63"/>
        <v/>
      </c>
      <c r="J453" s="25" t="str">
        <f>IF($E453="","",IF($F453+$G453&gt;0,Inputs!$B$11,0))</f>
        <v/>
      </c>
      <c r="K453" s="25" t="str">
        <f t="shared" si="64"/>
        <v/>
      </c>
      <c r="L453" s="25" t="str">
        <f t="shared" si="65"/>
        <v/>
      </c>
      <c r="M453" s="25" t="str">
        <f t="shared" si="66"/>
        <v/>
      </c>
      <c r="N453" s="84" t="str">
        <f t="shared" si="67"/>
        <v/>
      </c>
      <c r="O453" s="23" t="str">
        <f t="shared" si="68"/>
        <v/>
      </c>
    </row>
    <row r="454" spans="1:15" ht="20" customHeight="1">
      <c r="A454" s="22" t="str">
        <f t="shared" si="69"/>
        <v/>
      </c>
      <c r="B454" s="23" t="str">
        <f>IF($E454="","",108)</f>
        <v/>
      </c>
      <c r="C454" s="24" t="str">
        <f>IF($E454="","",EDATE(Inputs!$B$9,INT(107/2))+IF(MOD(107,2)=0,0,Inputs!$B$22))</f>
        <v/>
      </c>
      <c r="D454" s="23" t="str">
        <f t="shared" si="70"/>
        <v/>
      </c>
      <c r="E454" s="25" t="str">
        <f t="shared" si="71"/>
        <v/>
      </c>
      <c r="F454" s="25" t="str">
        <f>IF($E454="","",ROUND(MIN(Comparison!$C$5,MAX(0,$E454+$H454)),2))</f>
        <v/>
      </c>
      <c r="G454" s="25" t="str">
        <f>IF($E454="","",ROUND(MIN(Inputs!$B$10,MAX(0,$E454+$H454-$F454)),2))</f>
        <v/>
      </c>
      <c r="H454" s="25" t="str">
        <f>IF($E454="","",ROUND(IF(Inputs!$B$12="Daily Simple Interest",$E454*Inputs!$B$6/Inputs!$B$17*$D454,$E454*Inputs!$B$6/Inputs!$B$19),2))</f>
        <v/>
      </c>
      <c r="I454" s="25" t="str">
        <f t="shared" si="63"/>
        <v/>
      </c>
      <c r="J454" s="25" t="str">
        <f>IF($E454="","",IF($F454+$G454&gt;0,Inputs!$B$11,0))</f>
        <v/>
      </c>
      <c r="K454" s="25" t="str">
        <f t="shared" si="64"/>
        <v/>
      </c>
      <c r="L454" s="25" t="str">
        <f t="shared" si="65"/>
        <v/>
      </c>
      <c r="M454" s="25" t="str">
        <f t="shared" si="66"/>
        <v/>
      </c>
      <c r="N454" s="84" t="str">
        <f t="shared" si="67"/>
        <v/>
      </c>
      <c r="O454" s="23" t="str">
        <f t="shared" si="68"/>
        <v/>
      </c>
    </row>
    <row r="455" spans="1:15" ht="20" customHeight="1">
      <c r="A455" s="22" t="str">
        <f t="shared" si="69"/>
        <v/>
      </c>
      <c r="B455" s="23" t="str">
        <f>IF($E455="","",109)</f>
        <v/>
      </c>
      <c r="C455" s="24" t="str">
        <f>IF($E455="","",EDATE(Inputs!$B$9,INT(108/2))+IF(MOD(108,2)=0,0,Inputs!$B$22))</f>
        <v/>
      </c>
      <c r="D455" s="23" t="str">
        <f t="shared" si="70"/>
        <v/>
      </c>
      <c r="E455" s="25" t="str">
        <f t="shared" si="71"/>
        <v/>
      </c>
      <c r="F455" s="25" t="str">
        <f>IF($E455="","",ROUND(MIN(Comparison!$C$5,MAX(0,$E455+$H455)),2))</f>
        <v/>
      </c>
      <c r="G455" s="25" t="str">
        <f>IF($E455="","",ROUND(MIN(Inputs!$B$10,MAX(0,$E455+$H455-$F455)),2))</f>
        <v/>
      </c>
      <c r="H455" s="25" t="str">
        <f>IF($E455="","",ROUND(IF(Inputs!$B$12="Daily Simple Interest",$E455*Inputs!$B$6/Inputs!$B$17*$D455,$E455*Inputs!$B$6/Inputs!$B$19),2))</f>
        <v/>
      </c>
      <c r="I455" s="25" t="str">
        <f t="shared" ref="I455:I518" si="72">IF($E455="","",ROUND($F455+$G455-$H455,2))</f>
        <v/>
      </c>
      <c r="J455" s="25" t="str">
        <f>IF($E455="","",IF($F455+$G455&gt;0,Inputs!$B$11,0))</f>
        <v/>
      </c>
      <c r="K455" s="25" t="str">
        <f t="shared" ref="K455:K518" si="73">IF($E455="","",ROUND(MAX(0,$E455-$I455),2))</f>
        <v/>
      </c>
      <c r="L455" s="25" t="str">
        <f t="shared" ref="L455:L518" si="74">IF($E455="","",$F455+$G455)</f>
        <v/>
      </c>
      <c r="M455" s="25" t="str">
        <f t="shared" ref="M455:M518" si="75">IF($E455="","",0)</f>
        <v/>
      </c>
      <c r="N455" s="84" t="str">
        <f t="shared" ref="N455:N518" si="76">IF($E455="","",IF($K455&lt;=0.005,"PAID OFF","ACTIVE"))</f>
        <v/>
      </c>
      <c r="O455" s="23" t="str">
        <f t="shared" ref="O455:O518" si="77">IF($E455="","",IF($F455+$G455&gt;0,1,0))</f>
        <v/>
      </c>
    </row>
    <row r="456" spans="1:15" ht="20" customHeight="1">
      <c r="A456" s="22" t="str">
        <f t="shared" si="69"/>
        <v/>
      </c>
      <c r="B456" s="23" t="str">
        <f>IF($E456="","",110)</f>
        <v/>
      </c>
      <c r="C456" s="24" t="str">
        <f>IF($E456="","",EDATE(Inputs!$B$9,INT(109/2))+IF(MOD(109,2)=0,0,Inputs!$B$22))</f>
        <v/>
      </c>
      <c r="D456" s="23" t="str">
        <f t="shared" si="70"/>
        <v/>
      </c>
      <c r="E456" s="25" t="str">
        <f t="shared" si="71"/>
        <v/>
      </c>
      <c r="F456" s="25" t="str">
        <f>IF($E456="","",ROUND(MIN(Comparison!$C$5,MAX(0,$E456+$H456)),2))</f>
        <v/>
      </c>
      <c r="G456" s="25" t="str">
        <f>IF($E456="","",ROUND(MIN(Inputs!$B$10,MAX(0,$E456+$H456-$F456)),2))</f>
        <v/>
      </c>
      <c r="H456" s="25" t="str">
        <f>IF($E456="","",ROUND(IF(Inputs!$B$12="Daily Simple Interest",$E456*Inputs!$B$6/Inputs!$B$17*$D456,$E456*Inputs!$B$6/Inputs!$B$19),2))</f>
        <v/>
      </c>
      <c r="I456" s="25" t="str">
        <f t="shared" si="72"/>
        <v/>
      </c>
      <c r="J456" s="25" t="str">
        <f>IF($E456="","",IF($F456+$G456&gt;0,Inputs!$B$11,0))</f>
        <v/>
      </c>
      <c r="K456" s="25" t="str">
        <f t="shared" si="73"/>
        <v/>
      </c>
      <c r="L456" s="25" t="str">
        <f t="shared" si="74"/>
        <v/>
      </c>
      <c r="M456" s="25" t="str">
        <f t="shared" si="75"/>
        <v/>
      </c>
      <c r="N456" s="84" t="str">
        <f t="shared" si="76"/>
        <v/>
      </c>
      <c r="O456" s="23" t="str">
        <f t="shared" si="77"/>
        <v/>
      </c>
    </row>
    <row r="457" spans="1:15" ht="20" customHeight="1">
      <c r="A457" s="22" t="str">
        <f t="shared" si="69"/>
        <v/>
      </c>
      <c r="B457" s="23" t="str">
        <f>IF($E457="","",111)</f>
        <v/>
      </c>
      <c r="C457" s="24" t="str">
        <f>IF($E457="","",EDATE(Inputs!$B$9,INT(110/2))+IF(MOD(110,2)=0,0,Inputs!$B$22))</f>
        <v/>
      </c>
      <c r="D457" s="23" t="str">
        <f t="shared" si="70"/>
        <v/>
      </c>
      <c r="E457" s="25" t="str">
        <f t="shared" si="71"/>
        <v/>
      </c>
      <c r="F457" s="25" t="str">
        <f>IF($E457="","",ROUND(MIN(Comparison!$C$5,MAX(0,$E457+$H457)),2))</f>
        <v/>
      </c>
      <c r="G457" s="25" t="str">
        <f>IF($E457="","",ROUND(MIN(Inputs!$B$10,MAX(0,$E457+$H457-$F457)),2))</f>
        <v/>
      </c>
      <c r="H457" s="25" t="str">
        <f>IF($E457="","",ROUND(IF(Inputs!$B$12="Daily Simple Interest",$E457*Inputs!$B$6/Inputs!$B$17*$D457,$E457*Inputs!$B$6/Inputs!$B$19),2))</f>
        <v/>
      </c>
      <c r="I457" s="25" t="str">
        <f t="shared" si="72"/>
        <v/>
      </c>
      <c r="J457" s="25" t="str">
        <f>IF($E457="","",IF($F457+$G457&gt;0,Inputs!$B$11,0))</f>
        <v/>
      </c>
      <c r="K457" s="25" t="str">
        <f t="shared" si="73"/>
        <v/>
      </c>
      <c r="L457" s="25" t="str">
        <f t="shared" si="74"/>
        <v/>
      </c>
      <c r="M457" s="25" t="str">
        <f t="shared" si="75"/>
        <v/>
      </c>
      <c r="N457" s="84" t="str">
        <f t="shared" si="76"/>
        <v/>
      </c>
      <c r="O457" s="23" t="str">
        <f t="shared" si="77"/>
        <v/>
      </c>
    </row>
    <row r="458" spans="1:15" ht="20" customHeight="1">
      <c r="A458" s="22" t="str">
        <f t="shared" si="69"/>
        <v/>
      </c>
      <c r="B458" s="23" t="str">
        <f>IF($E458="","",112)</f>
        <v/>
      </c>
      <c r="C458" s="24" t="str">
        <f>IF($E458="","",EDATE(Inputs!$B$9,INT(111/2))+IF(MOD(111,2)=0,0,Inputs!$B$22))</f>
        <v/>
      </c>
      <c r="D458" s="23" t="str">
        <f t="shared" si="70"/>
        <v/>
      </c>
      <c r="E458" s="25" t="str">
        <f t="shared" si="71"/>
        <v/>
      </c>
      <c r="F458" s="25" t="str">
        <f>IF($E458="","",ROUND(MIN(Comparison!$C$5,MAX(0,$E458+$H458)),2))</f>
        <v/>
      </c>
      <c r="G458" s="25" t="str">
        <f>IF($E458="","",ROUND(MIN(Inputs!$B$10,MAX(0,$E458+$H458-$F458)),2))</f>
        <v/>
      </c>
      <c r="H458" s="25" t="str">
        <f>IF($E458="","",ROUND(IF(Inputs!$B$12="Daily Simple Interest",$E458*Inputs!$B$6/Inputs!$B$17*$D458,$E458*Inputs!$B$6/Inputs!$B$19),2))</f>
        <v/>
      </c>
      <c r="I458" s="25" t="str">
        <f t="shared" si="72"/>
        <v/>
      </c>
      <c r="J458" s="25" t="str">
        <f>IF($E458="","",IF($F458+$G458&gt;0,Inputs!$B$11,0))</f>
        <v/>
      </c>
      <c r="K458" s="25" t="str">
        <f t="shared" si="73"/>
        <v/>
      </c>
      <c r="L458" s="25" t="str">
        <f t="shared" si="74"/>
        <v/>
      </c>
      <c r="M458" s="25" t="str">
        <f t="shared" si="75"/>
        <v/>
      </c>
      <c r="N458" s="84" t="str">
        <f t="shared" si="76"/>
        <v/>
      </c>
      <c r="O458" s="23" t="str">
        <f t="shared" si="77"/>
        <v/>
      </c>
    </row>
    <row r="459" spans="1:15" ht="20" customHeight="1">
      <c r="A459" s="22" t="str">
        <f t="shared" si="69"/>
        <v/>
      </c>
      <c r="B459" s="23" t="str">
        <f>IF($E459="","",113)</f>
        <v/>
      </c>
      <c r="C459" s="24" t="str">
        <f>IF($E459="","",EDATE(Inputs!$B$9,INT(112/2))+IF(MOD(112,2)=0,0,Inputs!$B$22))</f>
        <v/>
      </c>
      <c r="D459" s="23" t="str">
        <f t="shared" si="70"/>
        <v/>
      </c>
      <c r="E459" s="25" t="str">
        <f t="shared" si="71"/>
        <v/>
      </c>
      <c r="F459" s="25" t="str">
        <f>IF($E459="","",ROUND(MIN(Comparison!$C$5,MAX(0,$E459+$H459)),2))</f>
        <v/>
      </c>
      <c r="G459" s="25" t="str">
        <f>IF($E459="","",ROUND(MIN(Inputs!$B$10,MAX(0,$E459+$H459-$F459)),2))</f>
        <v/>
      </c>
      <c r="H459" s="25" t="str">
        <f>IF($E459="","",ROUND(IF(Inputs!$B$12="Daily Simple Interest",$E459*Inputs!$B$6/Inputs!$B$17*$D459,$E459*Inputs!$B$6/Inputs!$B$19),2))</f>
        <v/>
      </c>
      <c r="I459" s="25" t="str">
        <f t="shared" si="72"/>
        <v/>
      </c>
      <c r="J459" s="25" t="str">
        <f>IF($E459="","",IF($F459+$G459&gt;0,Inputs!$B$11,0))</f>
        <v/>
      </c>
      <c r="K459" s="25" t="str">
        <f t="shared" si="73"/>
        <v/>
      </c>
      <c r="L459" s="25" t="str">
        <f t="shared" si="74"/>
        <v/>
      </c>
      <c r="M459" s="25" t="str">
        <f t="shared" si="75"/>
        <v/>
      </c>
      <c r="N459" s="84" t="str">
        <f t="shared" si="76"/>
        <v/>
      </c>
      <c r="O459" s="23" t="str">
        <f t="shared" si="77"/>
        <v/>
      </c>
    </row>
    <row r="460" spans="1:15" ht="20" customHeight="1">
      <c r="A460" s="22" t="str">
        <f t="shared" si="69"/>
        <v/>
      </c>
      <c r="B460" s="23" t="str">
        <f>IF($E460="","",114)</f>
        <v/>
      </c>
      <c r="C460" s="24" t="str">
        <f>IF($E460="","",EDATE(Inputs!$B$9,INT(113/2))+IF(MOD(113,2)=0,0,Inputs!$B$22))</f>
        <v/>
      </c>
      <c r="D460" s="23" t="str">
        <f t="shared" si="70"/>
        <v/>
      </c>
      <c r="E460" s="25" t="str">
        <f t="shared" si="71"/>
        <v/>
      </c>
      <c r="F460" s="25" t="str">
        <f>IF($E460="","",ROUND(MIN(Comparison!$C$5,MAX(0,$E460+$H460)),2))</f>
        <v/>
      </c>
      <c r="G460" s="25" t="str">
        <f>IF($E460="","",ROUND(MIN(Inputs!$B$10,MAX(0,$E460+$H460-$F460)),2))</f>
        <v/>
      </c>
      <c r="H460" s="25" t="str">
        <f>IF($E460="","",ROUND(IF(Inputs!$B$12="Daily Simple Interest",$E460*Inputs!$B$6/Inputs!$B$17*$D460,$E460*Inputs!$B$6/Inputs!$B$19),2))</f>
        <v/>
      </c>
      <c r="I460" s="25" t="str">
        <f t="shared" si="72"/>
        <v/>
      </c>
      <c r="J460" s="25" t="str">
        <f>IF($E460="","",IF($F460+$G460&gt;0,Inputs!$B$11,0))</f>
        <v/>
      </c>
      <c r="K460" s="25" t="str">
        <f t="shared" si="73"/>
        <v/>
      </c>
      <c r="L460" s="25" t="str">
        <f t="shared" si="74"/>
        <v/>
      </c>
      <c r="M460" s="25" t="str">
        <f t="shared" si="75"/>
        <v/>
      </c>
      <c r="N460" s="84" t="str">
        <f t="shared" si="76"/>
        <v/>
      </c>
      <c r="O460" s="23" t="str">
        <f t="shared" si="77"/>
        <v/>
      </c>
    </row>
    <row r="461" spans="1:15" ht="20" customHeight="1">
      <c r="A461" s="22" t="str">
        <f t="shared" si="69"/>
        <v/>
      </c>
      <c r="B461" s="23" t="str">
        <f>IF($E461="","",115)</f>
        <v/>
      </c>
      <c r="C461" s="24" t="str">
        <f>IF($E461="","",EDATE(Inputs!$B$9,INT(114/2))+IF(MOD(114,2)=0,0,Inputs!$B$22))</f>
        <v/>
      </c>
      <c r="D461" s="23" t="str">
        <f t="shared" si="70"/>
        <v/>
      </c>
      <c r="E461" s="25" t="str">
        <f t="shared" si="71"/>
        <v/>
      </c>
      <c r="F461" s="25" t="str">
        <f>IF($E461="","",ROUND(MIN(Comparison!$C$5,MAX(0,$E461+$H461)),2))</f>
        <v/>
      </c>
      <c r="G461" s="25" t="str">
        <f>IF($E461="","",ROUND(MIN(Inputs!$B$10,MAX(0,$E461+$H461-$F461)),2))</f>
        <v/>
      </c>
      <c r="H461" s="25" t="str">
        <f>IF($E461="","",ROUND(IF(Inputs!$B$12="Daily Simple Interest",$E461*Inputs!$B$6/Inputs!$B$17*$D461,$E461*Inputs!$B$6/Inputs!$B$19),2))</f>
        <v/>
      </c>
      <c r="I461" s="25" t="str">
        <f t="shared" si="72"/>
        <v/>
      </c>
      <c r="J461" s="25" t="str">
        <f>IF($E461="","",IF($F461+$G461&gt;0,Inputs!$B$11,0))</f>
        <v/>
      </c>
      <c r="K461" s="25" t="str">
        <f t="shared" si="73"/>
        <v/>
      </c>
      <c r="L461" s="25" t="str">
        <f t="shared" si="74"/>
        <v/>
      </c>
      <c r="M461" s="25" t="str">
        <f t="shared" si="75"/>
        <v/>
      </c>
      <c r="N461" s="84" t="str">
        <f t="shared" si="76"/>
        <v/>
      </c>
      <c r="O461" s="23" t="str">
        <f t="shared" si="77"/>
        <v/>
      </c>
    </row>
    <row r="462" spans="1:15" ht="20" customHeight="1">
      <c r="A462" s="22" t="str">
        <f t="shared" si="69"/>
        <v/>
      </c>
      <c r="B462" s="23" t="str">
        <f>IF($E462="","",116)</f>
        <v/>
      </c>
      <c r="C462" s="24" t="str">
        <f>IF($E462="","",EDATE(Inputs!$B$9,INT(115/2))+IF(MOD(115,2)=0,0,Inputs!$B$22))</f>
        <v/>
      </c>
      <c r="D462" s="23" t="str">
        <f t="shared" si="70"/>
        <v/>
      </c>
      <c r="E462" s="25" t="str">
        <f t="shared" si="71"/>
        <v/>
      </c>
      <c r="F462" s="25" t="str">
        <f>IF($E462="","",ROUND(MIN(Comparison!$C$5,MAX(0,$E462+$H462)),2))</f>
        <v/>
      </c>
      <c r="G462" s="25" t="str">
        <f>IF($E462="","",ROUND(MIN(Inputs!$B$10,MAX(0,$E462+$H462-$F462)),2))</f>
        <v/>
      </c>
      <c r="H462" s="25" t="str">
        <f>IF($E462="","",ROUND(IF(Inputs!$B$12="Daily Simple Interest",$E462*Inputs!$B$6/Inputs!$B$17*$D462,$E462*Inputs!$B$6/Inputs!$B$19),2))</f>
        <v/>
      </c>
      <c r="I462" s="25" t="str">
        <f t="shared" si="72"/>
        <v/>
      </c>
      <c r="J462" s="25" t="str">
        <f>IF($E462="","",IF($F462+$G462&gt;0,Inputs!$B$11,0))</f>
        <v/>
      </c>
      <c r="K462" s="25" t="str">
        <f t="shared" si="73"/>
        <v/>
      </c>
      <c r="L462" s="25" t="str">
        <f t="shared" si="74"/>
        <v/>
      </c>
      <c r="M462" s="25" t="str">
        <f t="shared" si="75"/>
        <v/>
      </c>
      <c r="N462" s="84" t="str">
        <f t="shared" si="76"/>
        <v/>
      </c>
      <c r="O462" s="23" t="str">
        <f t="shared" si="77"/>
        <v/>
      </c>
    </row>
    <row r="463" spans="1:15" ht="20" customHeight="1">
      <c r="A463" s="22" t="str">
        <f t="shared" si="69"/>
        <v/>
      </c>
      <c r="B463" s="23" t="str">
        <f>IF($E463="","",117)</f>
        <v/>
      </c>
      <c r="C463" s="24" t="str">
        <f>IF($E463="","",EDATE(Inputs!$B$9,INT(116/2))+IF(MOD(116,2)=0,0,Inputs!$B$22))</f>
        <v/>
      </c>
      <c r="D463" s="23" t="str">
        <f t="shared" si="70"/>
        <v/>
      </c>
      <c r="E463" s="25" t="str">
        <f t="shared" si="71"/>
        <v/>
      </c>
      <c r="F463" s="25" t="str">
        <f>IF($E463="","",ROUND(MIN(Comparison!$C$5,MAX(0,$E463+$H463)),2))</f>
        <v/>
      </c>
      <c r="G463" s="25" t="str">
        <f>IF($E463="","",ROUND(MIN(Inputs!$B$10,MAX(0,$E463+$H463-$F463)),2))</f>
        <v/>
      </c>
      <c r="H463" s="25" t="str">
        <f>IF($E463="","",ROUND(IF(Inputs!$B$12="Daily Simple Interest",$E463*Inputs!$B$6/Inputs!$B$17*$D463,$E463*Inputs!$B$6/Inputs!$B$19),2))</f>
        <v/>
      </c>
      <c r="I463" s="25" t="str">
        <f t="shared" si="72"/>
        <v/>
      </c>
      <c r="J463" s="25" t="str">
        <f>IF($E463="","",IF($F463+$G463&gt;0,Inputs!$B$11,0))</f>
        <v/>
      </c>
      <c r="K463" s="25" t="str">
        <f t="shared" si="73"/>
        <v/>
      </c>
      <c r="L463" s="25" t="str">
        <f t="shared" si="74"/>
        <v/>
      </c>
      <c r="M463" s="25" t="str">
        <f t="shared" si="75"/>
        <v/>
      </c>
      <c r="N463" s="84" t="str">
        <f t="shared" si="76"/>
        <v/>
      </c>
      <c r="O463" s="23" t="str">
        <f t="shared" si="77"/>
        <v/>
      </c>
    </row>
    <row r="464" spans="1:15" ht="20" customHeight="1">
      <c r="A464" s="22" t="str">
        <f t="shared" si="69"/>
        <v/>
      </c>
      <c r="B464" s="23" t="str">
        <f>IF($E464="","",118)</f>
        <v/>
      </c>
      <c r="C464" s="24" t="str">
        <f>IF($E464="","",EDATE(Inputs!$B$9,INT(117/2))+IF(MOD(117,2)=0,0,Inputs!$B$22))</f>
        <v/>
      </c>
      <c r="D464" s="23" t="str">
        <f t="shared" si="70"/>
        <v/>
      </c>
      <c r="E464" s="25" t="str">
        <f t="shared" si="71"/>
        <v/>
      </c>
      <c r="F464" s="25" t="str">
        <f>IF($E464="","",ROUND(MIN(Comparison!$C$5,MAX(0,$E464+$H464)),2))</f>
        <v/>
      </c>
      <c r="G464" s="25" t="str">
        <f>IF($E464="","",ROUND(MIN(Inputs!$B$10,MAX(0,$E464+$H464-$F464)),2))</f>
        <v/>
      </c>
      <c r="H464" s="25" t="str">
        <f>IF($E464="","",ROUND(IF(Inputs!$B$12="Daily Simple Interest",$E464*Inputs!$B$6/Inputs!$B$17*$D464,$E464*Inputs!$B$6/Inputs!$B$19),2))</f>
        <v/>
      </c>
      <c r="I464" s="25" t="str">
        <f t="shared" si="72"/>
        <v/>
      </c>
      <c r="J464" s="25" t="str">
        <f>IF($E464="","",IF($F464+$G464&gt;0,Inputs!$B$11,0))</f>
        <v/>
      </c>
      <c r="K464" s="25" t="str">
        <f t="shared" si="73"/>
        <v/>
      </c>
      <c r="L464" s="25" t="str">
        <f t="shared" si="74"/>
        <v/>
      </c>
      <c r="M464" s="25" t="str">
        <f t="shared" si="75"/>
        <v/>
      </c>
      <c r="N464" s="84" t="str">
        <f t="shared" si="76"/>
        <v/>
      </c>
      <c r="O464" s="23" t="str">
        <f t="shared" si="77"/>
        <v/>
      </c>
    </row>
    <row r="465" spans="1:15" ht="20" customHeight="1">
      <c r="A465" s="22" t="str">
        <f t="shared" si="69"/>
        <v/>
      </c>
      <c r="B465" s="23" t="str">
        <f>IF($E465="","",119)</f>
        <v/>
      </c>
      <c r="C465" s="24" t="str">
        <f>IF($E465="","",EDATE(Inputs!$B$9,INT(118/2))+IF(MOD(118,2)=0,0,Inputs!$B$22))</f>
        <v/>
      </c>
      <c r="D465" s="23" t="str">
        <f t="shared" si="70"/>
        <v/>
      </c>
      <c r="E465" s="25" t="str">
        <f t="shared" si="71"/>
        <v/>
      </c>
      <c r="F465" s="25" t="str">
        <f>IF($E465="","",ROUND(MIN(Comparison!$C$5,MAX(0,$E465+$H465)),2))</f>
        <v/>
      </c>
      <c r="G465" s="25" t="str">
        <f>IF($E465="","",ROUND(MIN(Inputs!$B$10,MAX(0,$E465+$H465-$F465)),2))</f>
        <v/>
      </c>
      <c r="H465" s="25" t="str">
        <f>IF($E465="","",ROUND(IF(Inputs!$B$12="Daily Simple Interest",$E465*Inputs!$B$6/Inputs!$B$17*$D465,$E465*Inputs!$B$6/Inputs!$B$19),2))</f>
        <v/>
      </c>
      <c r="I465" s="25" t="str">
        <f t="shared" si="72"/>
        <v/>
      </c>
      <c r="J465" s="25" t="str">
        <f>IF($E465="","",IF($F465+$G465&gt;0,Inputs!$B$11,0))</f>
        <v/>
      </c>
      <c r="K465" s="25" t="str">
        <f t="shared" si="73"/>
        <v/>
      </c>
      <c r="L465" s="25" t="str">
        <f t="shared" si="74"/>
        <v/>
      </c>
      <c r="M465" s="25" t="str">
        <f t="shared" si="75"/>
        <v/>
      </c>
      <c r="N465" s="84" t="str">
        <f t="shared" si="76"/>
        <v/>
      </c>
      <c r="O465" s="23" t="str">
        <f t="shared" si="77"/>
        <v/>
      </c>
    </row>
    <row r="466" spans="1:15" ht="20" customHeight="1">
      <c r="A466" s="22" t="str">
        <f t="shared" si="69"/>
        <v/>
      </c>
      <c r="B466" s="23" t="str">
        <f>IF($E466="","",120)</f>
        <v/>
      </c>
      <c r="C466" s="24" t="str">
        <f>IF($E466="","",EDATE(Inputs!$B$9,INT(119/2))+IF(MOD(119,2)=0,0,Inputs!$B$22))</f>
        <v/>
      </c>
      <c r="D466" s="23" t="str">
        <f t="shared" si="70"/>
        <v/>
      </c>
      <c r="E466" s="25" t="str">
        <f t="shared" si="71"/>
        <v/>
      </c>
      <c r="F466" s="25" t="str">
        <f>IF($E466="","",ROUND(MIN(Comparison!$C$5,MAX(0,$E466+$H466)),2))</f>
        <v/>
      </c>
      <c r="G466" s="25" t="str">
        <f>IF($E466="","",ROUND(MIN(Inputs!$B$10,MAX(0,$E466+$H466-$F466)),2))</f>
        <v/>
      </c>
      <c r="H466" s="25" t="str">
        <f>IF($E466="","",ROUND(IF(Inputs!$B$12="Daily Simple Interest",$E466*Inputs!$B$6/Inputs!$B$17*$D466,$E466*Inputs!$B$6/Inputs!$B$19),2))</f>
        <v/>
      </c>
      <c r="I466" s="25" t="str">
        <f t="shared" si="72"/>
        <v/>
      </c>
      <c r="J466" s="25" t="str">
        <f>IF($E466="","",IF($F466+$G466&gt;0,Inputs!$B$11,0))</f>
        <v/>
      </c>
      <c r="K466" s="25" t="str">
        <f t="shared" si="73"/>
        <v/>
      </c>
      <c r="L466" s="25" t="str">
        <f t="shared" si="74"/>
        <v/>
      </c>
      <c r="M466" s="25" t="str">
        <f t="shared" si="75"/>
        <v/>
      </c>
      <c r="N466" s="84" t="str">
        <f t="shared" si="76"/>
        <v/>
      </c>
      <c r="O466" s="23" t="str">
        <f t="shared" si="77"/>
        <v/>
      </c>
    </row>
    <row r="467" spans="1:15" ht="20" customHeight="1">
      <c r="A467" s="22" t="str">
        <f t="shared" si="69"/>
        <v/>
      </c>
      <c r="B467" s="23" t="str">
        <f>IF($E467="","",121)</f>
        <v/>
      </c>
      <c r="C467" s="24" t="str">
        <f>IF($E467="","",EDATE(Inputs!$B$9,INT(120/2))+IF(MOD(120,2)=0,0,Inputs!$B$22))</f>
        <v/>
      </c>
      <c r="D467" s="23" t="str">
        <f t="shared" si="70"/>
        <v/>
      </c>
      <c r="E467" s="25" t="str">
        <f t="shared" si="71"/>
        <v/>
      </c>
      <c r="F467" s="25" t="str">
        <f>IF($E467="","",ROUND(MIN(Comparison!$C$5,MAX(0,$E467+$H467)),2))</f>
        <v/>
      </c>
      <c r="G467" s="25" t="str">
        <f>IF($E467="","",ROUND(MIN(Inputs!$B$10,MAX(0,$E467+$H467-$F467)),2))</f>
        <v/>
      </c>
      <c r="H467" s="25" t="str">
        <f>IF($E467="","",ROUND(IF(Inputs!$B$12="Daily Simple Interest",$E467*Inputs!$B$6/Inputs!$B$17*$D467,$E467*Inputs!$B$6/Inputs!$B$19),2))</f>
        <v/>
      </c>
      <c r="I467" s="25" t="str">
        <f t="shared" si="72"/>
        <v/>
      </c>
      <c r="J467" s="25" t="str">
        <f>IF($E467="","",IF($F467+$G467&gt;0,Inputs!$B$11,0))</f>
        <v/>
      </c>
      <c r="K467" s="25" t="str">
        <f t="shared" si="73"/>
        <v/>
      </c>
      <c r="L467" s="25" t="str">
        <f t="shared" si="74"/>
        <v/>
      </c>
      <c r="M467" s="25" t="str">
        <f t="shared" si="75"/>
        <v/>
      </c>
      <c r="N467" s="84" t="str">
        <f t="shared" si="76"/>
        <v/>
      </c>
      <c r="O467" s="23" t="str">
        <f t="shared" si="77"/>
        <v/>
      </c>
    </row>
    <row r="468" spans="1:15" ht="20" customHeight="1">
      <c r="A468" s="22" t="str">
        <f t="shared" si="69"/>
        <v/>
      </c>
      <c r="B468" s="23" t="str">
        <f>IF($E468="","",122)</f>
        <v/>
      </c>
      <c r="C468" s="24" t="str">
        <f>IF($E468="","",EDATE(Inputs!$B$9,INT(121/2))+IF(MOD(121,2)=0,0,Inputs!$B$22))</f>
        <v/>
      </c>
      <c r="D468" s="23" t="str">
        <f t="shared" si="70"/>
        <v/>
      </c>
      <c r="E468" s="25" t="str">
        <f t="shared" si="71"/>
        <v/>
      </c>
      <c r="F468" s="25" t="str">
        <f>IF($E468="","",ROUND(MIN(Comparison!$C$5,MAX(0,$E468+$H468)),2))</f>
        <v/>
      </c>
      <c r="G468" s="25" t="str">
        <f>IF($E468="","",ROUND(MIN(Inputs!$B$10,MAX(0,$E468+$H468-$F468)),2))</f>
        <v/>
      </c>
      <c r="H468" s="25" t="str">
        <f>IF($E468="","",ROUND(IF(Inputs!$B$12="Daily Simple Interest",$E468*Inputs!$B$6/Inputs!$B$17*$D468,$E468*Inputs!$B$6/Inputs!$B$19),2))</f>
        <v/>
      </c>
      <c r="I468" s="25" t="str">
        <f t="shared" si="72"/>
        <v/>
      </c>
      <c r="J468" s="25" t="str">
        <f>IF($E468="","",IF($F468+$G468&gt;0,Inputs!$B$11,0))</f>
        <v/>
      </c>
      <c r="K468" s="25" t="str">
        <f t="shared" si="73"/>
        <v/>
      </c>
      <c r="L468" s="25" t="str">
        <f t="shared" si="74"/>
        <v/>
      </c>
      <c r="M468" s="25" t="str">
        <f t="shared" si="75"/>
        <v/>
      </c>
      <c r="N468" s="84" t="str">
        <f t="shared" si="76"/>
        <v/>
      </c>
      <c r="O468" s="23" t="str">
        <f t="shared" si="77"/>
        <v/>
      </c>
    </row>
    <row r="469" spans="1:15" ht="20" customHeight="1">
      <c r="A469" s="22" t="str">
        <f t="shared" si="69"/>
        <v/>
      </c>
      <c r="B469" s="23" t="str">
        <f>IF($E469="","",123)</f>
        <v/>
      </c>
      <c r="C469" s="24" t="str">
        <f>IF($E469="","",EDATE(Inputs!$B$9,INT(122/2))+IF(MOD(122,2)=0,0,Inputs!$B$22))</f>
        <v/>
      </c>
      <c r="D469" s="23" t="str">
        <f t="shared" si="70"/>
        <v/>
      </c>
      <c r="E469" s="25" t="str">
        <f t="shared" si="71"/>
        <v/>
      </c>
      <c r="F469" s="25" t="str">
        <f>IF($E469="","",ROUND(MIN(Comparison!$C$5,MAX(0,$E469+$H469)),2))</f>
        <v/>
      </c>
      <c r="G469" s="25" t="str">
        <f>IF($E469="","",ROUND(MIN(Inputs!$B$10,MAX(0,$E469+$H469-$F469)),2))</f>
        <v/>
      </c>
      <c r="H469" s="25" t="str">
        <f>IF($E469="","",ROUND(IF(Inputs!$B$12="Daily Simple Interest",$E469*Inputs!$B$6/Inputs!$B$17*$D469,$E469*Inputs!$B$6/Inputs!$B$19),2))</f>
        <v/>
      </c>
      <c r="I469" s="25" t="str">
        <f t="shared" si="72"/>
        <v/>
      </c>
      <c r="J469" s="25" t="str">
        <f>IF($E469="","",IF($F469+$G469&gt;0,Inputs!$B$11,0))</f>
        <v/>
      </c>
      <c r="K469" s="25" t="str">
        <f t="shared" si="73"/>
        <v/>
      </c>
      <c r="L469" s="25" t="str">
        <f t="shared" si="74"/>
        <v/>
      </c>
      <c r="M469" s="25" t="str">
        <f t="shared" si="75"/>
        <v/>
      </c>
      <c r="N469" s="84" t="str">
        <f t="shared" si="76"/>
        <v/>
      </c>
      <c r="O469" s="23" t="str">
        <f t="shared" si="77"/>
        <v/>
      </c>
    </row>
    <row r="470" spans="1:15" ht="20" customHeight="1">
      <c r="A470" s="22" t="str">
        <f t="shared" si="69"/>
        <v/>
      </c>
      <c r="B470" s="23" t="str">
        <f>IF($E470="","",124)</f>
        <v/>
      </c>
      <c r="C470" s="24" t="str">
        <f>IF($E470="","",EDATE(Inputs!$B$9,INT(123/2))+IF(MOD(123,2)=0,0,Inputs!$B$22))</f>
        <v/>
      </c>
      <c r="D470" s="23" t="str">
        <f t="shared" si="70"/>
        <v/>
      </c>
      <c r="E470" s="25" t="str">
        <f t="shared" si="71"/>
        <v/>
      </c>
      <c r="F470" s="25" t="str">
        <f>IF($E470="","",ROUND(MIN(Comparison!$C$5,MAX(0,$E470+$H470)),2))</f>
        <v/>
      </c>
      <c r="G470" s="25" t="str">
        <f>IF($E470="","",ROUND(MIN(Inputs!$B$10,MAX(0,$E470+$H470-$F470)),2))</f>
        <v/>
      </c>
      <c r="H470" s="25" t="str">
        <f>IF($E470="","",ROUND(IF(Inputs!$B$12="Daily Simple Interest",$E470*Inputs!$B$6/Inputs!$B$17*$D470,$E470*Inputs!$B$6/Inputs!$B$19),2))</f>
        <v/>
      </c>
      <c r="I470" s="25" t="str">
        <f t="shared" si="72"/>
        <v/>
      </c>
      <c r="J470" s="25" t="str">
        <f>IF($E470="","",IF($F470+$G470&gt;0,Inputs!$B$11,0))</f>
        <v/>
      </c>
      <c r="K470" s="25" t="str">
        <f t="shared" si="73"/>
        <v/>
      </c>
      <c r="L470" s="25" t="str">
        <f t="shared" si="74"/>
        <v/>
      </c>
      <c r="M470" s="25" t="str">
        <f t="shared" si="75"/>
        <v/>
      </c>
      <c r="N470" s="84" t="str">
        <f t="shared" si="76"/>
        <v/>
      </c>
      <c r="O470" s="23" t="str">
        <f t="shared" si="77"/>
        <v/>
      </c>
    </row>
    <row r="471" spans="1:15" ht="20" customHeight="1">
      <c r="A471" s="22" t="str">
        <f t="shared" si="69"/>
        <v/>
      </c>
      <c r="B471" s="23" t="str">
        <f>IF($E471="","",125)</f>
        <v/>
      </c>
      <c r="C471" s="24" t="str">
        <f>IF($E471="","",EDATE(Inputs!$B$9,INT(124/2))+IF(MOD(124,2)=0,0,Inputs!$B$22))</f>
        <v/>
      </c>
      <c r="D471" s="23" t="str">
        <f t="shared" si="70"/>
        <v/>
      </c>
      <c r="E471" s="25" t="str">
        <f t="shared" si="71"/>
        <v/>
      </c>
      <c r="F471" s="25" t="str">
        <f>IF($E471="","",ROUND(MIN(Comparison!$C$5,MAX(0,$E471+$H471)),2))</f>
        <v/>
      </c>
      <c r="G471" s="25" t="str">
        <f>IF($E471="","",ROUND(MIN(Inputs!$B$10,MAX(0,$E471+$H471-$F471)),2))</f>
        <v/>
      </c>
      <c r="H471" s="25" t="str">
        <f>IF($E471="","",ROUND(IF(Inputs!$B$12="Daily Simple Interest",$E471*Inputs!$B$6/Inputs!$B$17*$D471,$E471*Inputs!$B$6/Inputs!$B$19),2))</f>
        <v/>
      </c>
      <c r="I471" s="25" t="str">
        <f t="shared" si="72"/>
        <v/>
      </c>
      <c r="J471" s="25" t="str">
        <f>IF($E471="","",IF($F471+$G471&gt;0,Inputs!$B$11,0))</f>
        <v/>
      </c>
      <c r="K471" s="25" t="str">
        <f t="shared" si="73"/>
        <v/>
      </c>
      <c r="L471" s="25" t="str">
        <f t="shared" si="74"/>
        <v/>
      </c>
      <c r="M471" s="25" t="str">
        <f t="shared" si="75"/>
        <v/>
      </c>
      <c r="N471" s="84" t="str">
        <f t="shared" si="76"/>
        <v/>
      </c>
      <c r="O471" s="23" t="str">
        <f t="shared" si="77"/>
        <v/>
      </c>
    </row>
    <row r="472" spans="1:15" ht="20" customHeight="1">
      <c r="A472" s="22" t="str">
        <f t="shared" si="69"/>
        <v/>
      </c>
      <c r="B472" s="23" t="str">
        <f>IF($E472="","",126)</f>
        <v/>
      </c>
      <c r="C472" s="24" t="str">
        <f>IF($E472="","",EDATE(Inputs!$B$9,INT(125/2))+IF(MOD(125,2)=0,0,Inputs!$B$22))</f>
        <v/>
      </c>
      <c r="D472" s="23" t="str">
        <f t="shared" si="70"/>
        <v/>
      </c>
      <c r="E472" s="25" t="str">
        <f t="shared" si="71"/>
        <v/>
      </c>
      <c r="F472" s="25" t="str">
        <f>IF($E472="","",ROUND(MIN(Comparison!$C$5,MAX(0,$E472+$H472)),2))</f>
        <v/>
      </c>
      <c r="G472" s="25" t="str">
        <f>IF($E472="","",ROUND(MIN(Inputs!$B$10,MAX(0,$E472+$H472-$F472)),2))</f>
        <v/>
      </c>
      <c r="H472" s="25" t="str">
        <f>IF($E472="","",ROUND(IF(Inputs!$B$12="Daily Simple Interest",$E472*Inputs!$B$6/Inputs!$B$17*$D472,$E472*Inputs!$B$6/Inputs!$B$19),2))</f>
        <v/>
      </c>
      <c r="I472" s="25" t="str">
        <f t="shared" si="72"/>
        <v/>
      </c>
      <c r="J472" s="25" t="str">
        <f>IF($E472="","",IF($F472+$G472&gt;0,Inputs!$B$11,0))</f>
        <v/>
      </c>
      <c r="K472" s="25" t="str">
        <f t="shared" si="73"/>
        <v/>
      </c>
      <c r="L472" s="25" t="str">
        <f t="shared" si="74"/>
        <v/>
      </c>
      <c r="M472" s="25" t="str">
        <f t="shared" si="75"/>
        <v/>
      </c>
      <c r="N472" s="84" t="str">
        <f t="shared" si="76"/>
        <v/>
      </c>
      <c r="O472" s="23" t="str">
        <f t="shared" si="77"/>
        <v/>
      </c>
    </row>
    <row r="473" spans="1:15" ht="20" customHeight="1">
      <c r="A473" s="22" t="str">
        <f t="shared" si="69"/>
        <v/>
      </c>
      <c r="B473" s="23" t="str">
        <f>IF($E473="","",127)</f>
        <v/>
      </c>
      <c r="C473" s="24" t="str">
        <f>IF($E473="","",EDATE(Inputs!$B$9,INT(126/2))+IF(MOD(126,2)=0,0,Inputs!$B$22))</f>
        <v/>
      </c>
      <c r="D473" s="23" t="str">
        <f t="shared" si="70"/>
        <v/>
      </c>
      <c r="E473" s="25" t="str">
        <f t="shared" si="71"/>
        <v/>
      </c>
      <c r="F473" s="25" t="str">
        <f>IF($E473="","",ROUND(MIN(Comparison!$C$5,MAX(0,$E473+$H473)),2))</f>
        <v/>
      </c>
      <c r="G473" s="25" t="str">
        <f>IF($E473="","",ROUND(MIN(Inputs!$B$10,MAX(0,$E473+$H473-$F473)),2))</f>
        <v/>
      </c>
      <c r="H473" s="25" t="str">
        <f>IF($E473="","",ROUND(IF(Inputs!$B$12="Daily Simple Interest",$E473*Inputs!$B$6/Inputs!$B$17*$D473,$E473*Inputs!$B$6/Inputs!$B$19),2))</f>
        <v/>
      </c>
      <c r="I473" s="25" t="str">
        <f t="shared" si="72"/>
        <v/>
      </c>
      <c r="J473" s="25" t="str">
        <f>IF($E473="","",IF($F473+$G473&gt;0,Inputs!$B$11,0))</f>
        <v/>
      </c>
      <c r="K473" s="25" t="str">
        <f t="shared" si="73"/>
        <v/>
      </c>
      <c r="L473" s="25" t="str">
        <f t="shared" si="74"/>
        <v/>
      </c>
      <c r="M473" s="25" t="str">
        <f t="shared" si="75"/>
        <v/>
      </c>
      <c r="N473" s="84" t="str">
        <f t="shared" si="76"/>
        <v/>
      </c>
      <c r="O473" s="23" t="str">
        <f t="shared" si="77"/>
        <v/>
      </c>
    </row>
    <row r="474" spans="1:15" ht="20" customHeight="1">
      <c r="A474" s="22" t="str">
        <f t="shared" si="69"/>
        <v/>
      </c>
      <c r="B474" s="23" t="str">
        <f>IF($E474="","",128)</f>
        <v/>
      </c>
      <c r="C474" s="24" t="str">
        <f>IF($E474="","",EDATE(Inputs!$B$9,INT(127/2))+IF(MOD(127,2)=0,0,Inputs!$B$22))</f>
        <v/>
      </c>
      <c r="D474" s="23" t="str">
        <f t="shared" si="70"/>
        <v/>
      </c>
      <c r="E474" s="25" t="str">
        <f t="shared" si="71"/>
        <v/>
      </c>
      <c r="F474" s="25" t="str">
        <f>IF($E474="","",ROUND(MIN(Comparison!$C$5,MAX(0,$E474+$H474)),2))</f>
        <v/>
      </c>
      <c r="G474" s="25" t="str">
        <f>IF($E474="","",ROUND(MIN(Inputs!$B$10,MAX(0,$E474+$H474-$F474)),2))</f>
        <v/>
      </c>
      <c r="H474" s="25" t="str">
        <f>IF($E474="","",ROUND(IF(Inputs!$B$12="Daily Simple Interest",$E474*Inputs!$B$6/Inputs!$B$17*$D474,$E474*Inputs!$B$6/Inputs!$B$19),2))</f>
        <v/>
      </c>
      <c r="I474" s="25" t="str">
        <f t="shared" si="72"/>
        <v/>
      </c>
      <c r="J474" s="25" t="str">
        <f>IF($E474="","",IF($F474+$G474&gt;0,Inputs!$B$11,0))</f>
        <v/>
      </c>
      <c r="K474" s="25" t="str">
        <f t="shared" si="73"/>
        <v/>
      </c>
      <c r="L474" s="25" t="str">
        <f t="shared" si="74"/>
        <v/>
      </c>
      <c r="M474" s="25" t="str">
        <f t="shared" si="75"/>
        <v/>
      </c>
      <c r="N474" s="84" t="str">
        <f t="shared" si="76"/>
        <v/>
      </c>
      <c r="O474" s="23" t="str">
        <f t="shared" si="77"/>
        <v/>
      </c>
    </row>
    <row r="475" spans="1:15" ht="20" customHeight="1">
      <c r="A475" s="22" t="str">
        <f t="shared" ref="A475:A538" si="78">IF($E475="","","Twice Monthly")</f>
        <v/>
      </c>
      <c r="B475" s="23" t="str">
        <f>IF($E475="","",129)</f>
        <v/>
      </c>
      <c r="C475" s="24" t="str">
        <f>IF($E475="","",EDATE(Inputs!$B$9,INT(128/2))+IF(MOD(128,2)=0,0,Inputs!$B$22))</f>
        <v/>
      </c>
      <c r="D475" s="23" t="str">
        <f t="shared" si="70"/>
        <v/>
      </c>
      <c r="E475" s="25" t="str">
        <f t="shared" si="71"/>
        <v/>
      </c>
      <c r="F475" s="25" t="str">
        <f>IF($E475="","",ROUND(MIN(Comparison!$C$5,MAX(0,$E475+$H475)),2))</f>
        <v/>
      </c>
      <c r="G475" s="25" t="str">
        <f>IF($E475="","",ROUND(MIN(Inputs!$B$10,MAX(0,$E475+$H475-$F475)),2))</f>
        <v/>
      </c>
      <c r="H475" s="25" t="str">
        <f>IF($E475="","",ROUND(IF(Inputs!$B$12="Daily Simple Interest",$E475*Inputs!$B$6/Inputs!$B$17*$D475,$E475*Inputs!$B$6/Inputs!$B$19),2))</f>
        <v/>
      </c>
      <c r="I475" s="25" t="str">
        <f t="shared" si="72"/>
        <v/>
      </c>
      <c r="J475" s="25" t="str">
        <f>IF($E475="","",IF($F475+$G475&gt;0,Inputs!$B$11,0))</f>
        <v/>
      </c>
      <c r="K475" s="25" t="str">
        <f t="shared" si="73"/>
        <v/>
      </c>
      <c r="L475" s="25" t="str">
        <f t="shared" si="74"/>
        <v/>
      </c>
      <c r="M475" s="25" t="str">
        <f t="shared" si="75"/>
        <v/>
      </c>
      <c r="N475" s="84" t="str">
        <f t="shared" si="76"/>
        <v/>
      </c>
      <c r="O475" s="23" t="str">
        <f t="shared" si="77"/>
        <v/>
      </c>
    </row>
    <row r="476" spans="1:15" ht="20" customHeight="1">
      <c r="A476" s="22" t="str">
        <f t="shared" si="78"/>
        <v/>
      </c>
      <c r="B476" s="23" t="str">
        <f>IF($E476="","",130)</f>
        <v/>
      </c>
      <c r="C476" s="24" t="str">
        <f>IF($E476="","",EDATE(Inputs!$B$9,INT(129/2))+IF(MOD(129,2)=0,0,Inputs!$B$22))</f>
        <v/>
      </c>
      <c r="D476" s="23" t="str">
        <f t="shared" ref="D476:D539" si="79">IF($E476="","",$C476-$C475)</f>
        <v/>
      </c>
      <c r="E476" s="25" t="str">
        <f t="shared" ref="E476:E539" si="80">IF($K475&gt;0.005,$K475,"")</f>
        <v/>
      </c>
      <c r="F476" s="25" t="str">
        <f>IF($E476="","",ROUND(MIN(Comparison!$C$5,MAX(0,$E476+$H476)),2))</f>
        <v/>
      </c>
      <c r="G476" s="25" t="str">
        <f>IF($E476="","",ROUND(MIN(Inputs!$B$10,MAX(0,$E476+$H476-$F476)),2))</f>
        <v/>
      </c>
      <c r="H476" s="25" t="str">
        <f>IF($E476="","",ROUND(IF(Inputs!$B$12="Daily Simple Interest",$E476*Inputs!$B$6/Inputs!$B$17*$D476,$E476*Inputs!$B$6/Inputs!$B$19),2))</f>
        <v/>
      </c>
      <c r="I476" s="25" t="str">
        <f t="shared" si="72"/>
        <v/>
      </c>
      <c r="J476" s="25" t="str">
        <f>IF($E476="","",IF($F476+$G476&gt;0,Inputs!$B$11,0))</f>
        <v/>
      </c>
      <c r="K476" s="25" t="str">
        <f t="shared" si="73"/>
        <v/>
      </c>
      <c r="L476" s="25" t="str">
        <f t="shared" si="74"/>
        <v/>
      </c>
      <c r="M476" s="25" t="str">
        <f t="shared" si="75"/>
        <v/>
      </c>
      <c r="N476" s="84" t="str">
        <f t="shared" si="76"/>
        <v/>
      </c>
      <c r="O476" s="23" t="str">
        <f t="shared" si="77"/>
        <v/>
      </c>
    </row>
    <row r="477" spans="1:15" ht="20" customHeight="1">
      <c r="A477" s="22" t="str">
        <f t="shared" si="78"/>
        <v/>
      </c>
      <c r="B477" s="23" t="str">
        <f>IF($E477="","",131)</f>
        <v/>
      </c>
      <c r="C477" s="24" t="str">
        <f>IF($E477="","",EDATE(Inputs!$B$9,INT(130/2))+IF(MOD(130,2)=0,0,Inputs!$B$22))</f>
        <v/>
      </c>
      <c r="D477" s="23" t="str">
        <f t="shared" si="79"/>
        <v/>
      </c>
      <c r="E477" s="25" t="str">
        <f t="shared" si="80"/>
        <v/>
      </c>
      <c r="F477" s="25" t="str">
        <f>IF($E477="","",ROUND(MIN(Comparison!$C$5,MAX(0,$E477+$H477)),2))</f>
        <v/>
      </c>
      <c r="G477" s="25" t="str">
        <f>IF($E477="","",ROUND(MIN(Inputs!$B$10,MAX(0,$E477+$H477-$F477)),2))</f>
        <v/>
      </c>
      <c r="H477" s="25" t="str">
        <f>IF($E477="","",ROUND(IF(Inputs!$B$12="Daily Simple Interest",$E477*Inputs!$B$6/Inputs!$B$17*$D477,$E477*Inputs!$B$6/Inputs!$B$19),2))</f>
        <v/>
      </c>
      <c r="I477" s="25" t="str">
        <f t="shared" si="72"/>
        <v/>
      </c>
      <c r="J477" s="25" t="str">
        <f>IF($E477="","",IF($F477+$G477&gt;0,Inputs!$B$11,0))</f>
        <v/>
      </c>
      <c r="K477" s="25" t="str">
        <f t="shared" si="73"/>
        <v/>
      </c>
      <c r="L477" s="25" t="str">
        <f t="shared" si="74"/>
        <v/>
      </c>
      <c r="M477" s="25" t="str">
        <f t="shared" si="75"/>
        <v/>
      </c>
      <c r="N477" s="84" t="str">
        <f t="shared" si="76"/>
        <v/>
      </c>
      <c r="O477" s="23" t="str">
        <f t="shared" si="77"/>
        <v/>
      </c>
    </row>
    <row r="478" spans="1:15" ht="20" customHeight="1">
      <c r="A478" s="22" t="str">
        <f t="shared" si="78"/>
        <v/>
      </c>
      <c r="B478" s="23" t="str">
        <f>IF($E478="","",132)</f>
        <v/>
      </c>
      <c r="C478" s="24" t="str">
        <f>IF($E478="","",EDATE(Inputs!$B$9,INT(131/2))+IF(MOD(131,2)=0,0,Inputs!$B$22))</f>
        <v/>
      </c>
      <c r="D478" s="23" t="str">
        <f t="shared" si="79"/>
        <v/>
      </c>
      <c r="E478" s="25" t="str">
        <f t="shared" si="80"/>
        <v/>
      </c>
      <c r="F478" s="25" t="str">
        <f>IF($E478="","",ROUND(MIN(Comparison!$C$5,MAX(0,$E478+$H478)),2))</f>
        <v/>
      </c>
      <c r="G478" s="25" t="str">
        <f>IF($E478="","",ROUND(MIN(Inputs!$B$10,MAX(0,$E478+$H478-$F478)),2))</f>
        <v/>
      </c>
      <c r="H478" s="25" t="str">
        <f>IF($E478="","",ROUND(IF(Inputs!$B$12="Daily Simple Interest",$E478*Inputs!$B$6/Inputs!$B$17*$D478,$E478*Inputs!$B$6/Inputs!$B$19),2))</f>
        <v/>
      </c>
      <c r="I478" s="25" t="str">
        <f t="shared" si="72"/>
        <v/>
      </c>
      <c r="J478" s="25" t="str">
        <f>IF($E478="","",IF($F478+$G478&gt;0,Inputs!$B$11,0))</f>
        <v/>
      </c>
      <c r="K478" s="25" t="str">
        <f t="shared" si="73"/>
        <v/>
      </c>
      <c r="L478" s="25" t="str">
        <f t="shared" si="74"/>
        <v/>
      </c>
      <c r="M478" s="25" t="str">
        <f t="shared" si="75"/>
        <v/>
      </c>
      <c r="N478" s="84" t="str">
        <f t="shared" si="76"/>
        <v/>
      </c>
      <c r="O478" s="23" t="str">
        <f t="shared" si="77"/>
        <v/>
      </c>
    </row>
    <row r="479" spans="1:15" ht="20" customHeight="1">
      <c r="A479" s="22" t="str">
        <f t="shared" si="78"/>
        <v/>
      </c>
      <c r="B479" s="23" t="str">
        <f>IF($E479="","",133)</f>
        <v/>
      </c>
      <c r="C479" s="24" t="str">
        <f>IF($E479="","",EDATE(Inputs!$B$9,INT(132/2))+IF(MOD(132,2)=0,0,Inputs!$B$22))</f>
        <v/>
      </c>
      <c r="D479" s="23" t="str">
        <f t="shared" si="79"/>
        <v/>
      </c>
      <c r="E479" s="25" t="str">
        <f t="shared" si="80"/>
        <v/>
      </c>
      <c r="F479" s="25" t="str">
        <f>IF($E479="","",ROUND(MIN(Comparison!$C$5,MAX(0,$E479+$H479)),2))</f>
        <v/>
      </c>
      <c r="G479" s="25" t="str">
        <f>IF($E479="","",ROUND(MIN(Inputs!$B$10,MAX(0,$E479+$H479-$F479)),2))</f>
        <v/>
      </c>
      <c r="H479" s="25" t="str">
        <f>IF($E479="","",ROUND(IF(Inputs!$B$12="Daily Simple Interest",$E479*Inputs!$B$6/Inputs!$B$17*$D479,$E479*Inputs!$B$6/Inputs!$B$19),2))</f>
        <v/>
      </c>
      <c r="I479" s="25" t="str">
        <f t="shared" si="72"/>
        <v/>
      </c>
      <c r="J479" s="25" t="str">
        <f>IF($E479="","",IF($F479+$G479&gt;0,Inputs!$B$11,0))</f>
        <v/>
      </c>
      <c r="K479" s="25" t="str">
        <f t="shared" si="73"/>
        <v/>
      </c>
      <c r="L479" s="25" t="str">
        <f t="shared" si="74"/>
        <v/>
      </c>
      <c r="M479" s="25" t="str">
        <f t="shared" si="75"/>
        <v/>
      </c>
      <c r="N479" s="84" t="str">
        <f t="shared" si="76"/>
        <v/>
      </c>
      <c r="O479" s="23" t="str">
        <f t="shared" si="77"/>
        <v/>
      </c>
    </row>
    <row r="480" spans="1:15" ht="20" customHeight="1">
      <c r="A480" s="22" t="str">
        <f t="shared" si="78"/>
        <v/>
      </c>
      <c r="B480" s="23" t="str">
        <f>IF($E480="","",134)</f>
        <v/>
      </c>
      <c r="C480" s="24" t="str">
        <f>IF($E480="","",EDATE(Inputs!$B$9,INT(133/2))+IF(MOD(133,2)=0,0,Inputs!$B$22))</f>
        <v/>
      </c>
      <c r="D480" s="23" t="str">
        <f t="shared" si="79"/>
        <v/>
      </c>
      <c r="E480" s="25" t="str">
        <f t="shared" si="80"/>
        <v/>
      </c>
      <c r="F480" s="25" t="str">
        <f>IF($E480="","",ROUND(MIN(Comparison!$C$5,MAX(0,$E480+$H480)),2))</f>
        <v/>
      </c>
      <c r="G480" s="25" t="str">
        <f>IF($E480="","",ROUND(MIN(Inputs!$B$10,MAX(0,$E480+$H480-$F480)),2))</f>
        <v/>
      </c>
      <c r="H480" s="25" t="str">
        <f>IF($E480="","",ROUND(IF(Inputs!$B$12="Daily Simple Interest",$E480*Inputs!$B$6/Inputs!$B$17*$D480,$E480*Inputs!$B$6/Inputs!$B$19),2))</f>
        <v/>
      </c>
      <c r="I480" s="25" t="str">
        <f t="shared" si="72"/>
        <v/>
      </c>
      <c r="J480" s="25" t="str">
        <f>IF($E480="","",IF($F480+$G480&gt;0,Inputs!$B$11,0))</f>
        <v/>
      </c>
      <c r="K480" s="25" t="str">
        <f t="shared" si="73"/>
        <v/>
      </c>
      <c r="L480" s="25" t="str">
        <f t="shared" si="74"/>
        <v/>
      </c>
      <c r="M480" s="25" t="str">
        <f t="shared" si="75"/>
        <v/>
      </c>
      <c r="N480" s="84" t="str">
        <f t="shared" si="76"/>
        <v/>
      </c>
      <c r="O480" s="23" t="str">
        <f t="shared" si="77"/>
        <v/>
      </c>
    </row>
    <row r="481" spans="1:15" ht="20" customHeight="1">
      <c r="A481" s="22" t="str">
        <f t="shared" si="78"/>
        <v/>
      </c>
      <c r="B481" s="23" t="str">
        <f>IF($E481="","",135)</f>
        <v/>
      </c>
      <c r="C481" s="24" t="str">
        <f>IF($E481="","",EDATE(Inputs!$B$9,INT(134/2))+IF(MOD(134,2)=0,0,Inputs!$B$22))</f>
        <v/>
      </c>
      <c r="D481" s="23" t="str">
        <f t="shared" si="79"/>
        <v/>
      </c>
      <c r="E481" s="25" t="str">
        <f t="shared" si="80"/>
        <v/>
      </c>
      <c r="F481" s="25" t="str">
        <f>IF($E481="","",ROUND(MIN(Comparison!$C$5,MAX(0,$E481+$H481)),2))</f>
        <v/>
      </c>
      <c r="G481" s="25" t="str">
        <f>IF($E481="","",ROUND(MIN(Inputs!$B$10,MAX(0,$E481+$H481-$F481)),2))</f>
        <v/>
      </c>
      <c r="H481" s="25" t="str">
        <f>IF($E481="","",ROUND(IF(Inputs!$B$12="Daily Simple Interest",$E481*Inputs!$B$6/Inputs!$B$17*$D481,$E481*Inputs!$B$6/Inputs!$B$19),2))</f>
        <v/>
      </c>
      <c r="I481" s="25" t="str">
        <f t="shared" si="72"/>
        <v/>
      </c>
      <c r="J481" s="25" t="str">
        <f>IF($E481="","",IF($F481+$G481&gt;0,Inputs!$B$11,0))</f>
        <v/>
      </c>
      <c r="K481" s="25" t="str">
        <f t="shared" si="73"/>
        <v/>
      </c>
      <c r="L481" s="25" t="str">
        <f t="shared" si="74"/>
        <v/>
      </c>
      <c r="M481" s="25" t="str">
        <f t="shared" si="75"/>
        <v/>
      </c>
      <c r="N481" s="84" t="str">
        <f t="shared" si="76"/>
        <v/>
      </c>
      <c r="O481" s="23" t="str">
        <f t="shared" si="77"/>
        <v/>
      </c>
    </row>
    <row r="482" spans="1:15" ht="20" customHeight="1">
      <c r="A482" s="22" t="str">
        <f t="shared" si="78"/>
        <v/>
      </c>
      <c r="B482" s="23" t="str">
        <f>IF($E482="","",136)</f>
        <v/>
      </c>
      <c r="C482" s="24" t="str">
        <f>IF($E482="","",EDATE(Inputs!$B$9,INT(135/2))+IF(MOD(135,2)=0,0,Inputs!$B$22))</f>
        <v/>
      </c>
      <c r="D482" s="23" t="str">
        <f t="shared" si="79"/>
        <v/>
      </c>
      <c r="E482" s="25" t="str">
        <f t="shared" si="80"/>
        <v/>
      </c>
      <c r="F482" s="25" t="str">
        <f>IF($E482="","",ROUND(MIN(Comparison!$C$5,MAX(0,$E482+$H482)),2))</f>
        <v/>
      </c>
      <c r="G482" s="25" t="str">
        <f>IF($E482="","",ROUND(MIN(Inputs!$B$10,MAX(0,$E482+$H482-$F482)),2))</f>
        <v/>
      </c>
      <c r="H482" s="25" t="str">
        <f>IF($E482="","",ROUND(IF(Inputs!$B$12="Daily Simple Interest",$E482*Inputs!$B$6/Inputs!$B$17*$D482,$E482*Inputs!$B$6/Inputs!$B$19),2))</f>
        <v/>
      </c>
      <c r="I482" s="25" t="str">
        <f t="shared" si="72"/>
        <v/>
      </c>
      <c r="J482" s="25" t="str">
        <f>IF($E482="","",IF($F482+$G482&gt;0,Inputs!$B$11,0))</f>
        <v/>
      </c>
      <c r="K482" s="25" t="str">
        <f t="shared" si="73"/>
        <v/>
      </c>
      <c r="L482" s="25" t="str">
        <f t="shared" si="74"/>
        <v/>
      </c>
      <c r="M482" s="25" t="str">
        <f t="shared" si="75"/>
        <v/>
      </c>
      <c r="N482" s="84" t="str">
        <f t="shared" si="76"/>
        <v/>
      </c>
      <c r="O482" s="23" t="str">
        <f t="shared" si="77"/>
        <v/>
      </c>
    </row>
    <row r="483" spans="1:15" ht="20" customHeight="1">
      <c r="A483" s="22" t="str">
        <f t="shared" si="78"/>
        <v/>
      </c>
      <c r="B483" s="23" t="str">
        <f>IF($E483="","",137)</f>
        <v/>
      </c>
      <c r="C483" s="24" t="str">
        <f>IF($E483="","",EDATE(Inputs!$B$9,INT(136/2))+IF(MOD(136,2)=0,0,Inputs!$B$22))</f>
        <v/>
      </c>
      <c r="D483" s="23" t="str">
        <f t="shared" si="79"/>
        <v/>
      </c>
      <c r="E483" s="25" t="str">
        <f t="shared" si="80"/>
        <v/>
      </c>
      <c r="F483" s="25" t="str">
        <f>IF($E483="","",ROUND(MIN(Comparison!$C$5,MAX(0,$E483+$H483)),2))</f>
        <v/>
      </c>
      <c r="G483" s="25" t="str">
        <f>IF($E483="","",ROUND(MIN(Inputs!$B$10,MAX(0,$E483+$H483-$F483)),2))</f>
        <v/>
      </c>
      <c r="H483" s="25" t="str">
        <f>IF($E483="","",ROUND(IF(Inputs!$B$12="Daily Simple Interest",$E483*Inputs!$B$6/Inputs!$B$17*$D483,$E483*Inputs!$B$6/Inputs!$B$19),2))</f>
        <v/>
      </c>
      <c r="I483" s="25" t="str">
        <f t="shared" si="72"/>
        <v/>
      </c>
      <c r="J483" s="25" t="str">
        <f>IF($E483="","",IF($F483+$G483&gt;0,Inputs!$B$11,0))</f>
        <v/>
      </c>
      <c r="K483" s="25" t="str">
        <f t="shared" si="73"/>
        <v/>
      </c>
      <c r="L483" s="25" t="str">
        <f t="shared" si="74"/>
        <v/>
      </c>
      <c r="M483" s="25" t="str">
        <f t="shared" si="75"/>
        <v/>
      </c>
      <c r="N483" s="84" t="str">
        <f t="shared" si="76"/>
        <v/>
      </c>
      <c r="O483" s="23" t="str">
        <f t="shared" si="77"/>
        <v/>
      </c>
    </row>
    <row r="484" spans="1:15" ht="20" customHeight="1">
      <c r="A484" s="22" t="str">
        <f t="shared" si="78"/>
        <v/>
      </c>
      <c r="B484" s="23" t="str">
        <f>IF($E484="","",138)</f>
        <v/>
      </c>
      <c r="C484" s="24" t="str">
        <f>IF($E484="","",EDATE(Inputs!$B$9,INT(137/2))+IF(MOD(137,2)=0,0,Inputs!$B$22))</f>
        <v/>
      </c>
      <c r="D484" s="23" t="str">
        <f t="shared" si="79"/>
        <v/>
      </c>
      <c r="E484" s="25" t="str">
        <f t="shared" si="80"/>
        <v/>
      </c>
      <c r="F484" s="25" t="str">
        <f>IF($E484="","",ROUND(MIN(Comparison!$C$5,MAX(0,$E484+$H484)),2))</f>
        <v/>
      </c>
      <c r="G484" s="25" t="str">
        <f>IF($E484="","",ROUND(MIN(Inputs!$B$10,MAX(0,$E484+$H484-$F484)),2))</f>
        <v/>
      </c>
      <c r="H484" s="25" t="str">
        <f>IF($E484="","",ROUND(IF(Inputs!$B$12="Daily Simple Interest",$E484*Inputs!$B$6/Inputs!$B$17*$D484,$E484*Inputs!$B$6/Inputs!$B$19),2))</f>
        <v/>
      </c>
      <c r="I484" s="25" t="str">
        <f t="shared" si="72"/>
        <v/>
      </c>
      <c r="J484" s="25" t="str">
        <f>IF($E484="","",IF($F484+$G484&gt;0,Inputs!$B$11,0))</f>
        <v/>
      </c>
      <c r="K484" s="25" t="str">
        <f t="shared" si="73"/>
        <v/>
      </c>
      <c r="L484" s="25" t="str">
        <f t="shared" si="74"/>
        <v/>
      </c>
      <c r="M484" s="25" t="str">
        <f t="shared" si="75"/>
        <v/>
      </c>
      <c r="N484" s="84" t="str">
        <f t="shared" si="76"/>
        <v/>
      </c>
      <c r="O484" s="23" t="str">
        <f t="shared" si="77"/>
        <v/>
      </c>
    </row>
    <row r="485" spans="1:15" ht="20" customHeight="1">
      <c r="A485" s="22" t="str">
        <f t="shared" si="78"/>
        <v/>
      </c>
      <c r="B485" s="23" t="str">
        <f>IF($E485="","",139)</f>
        <v/>
      </c>
      <c r="C485" s="24" t="str">
        <f>IF($E485="","",EDATE(Inputs!$B$9,INT(138/2))+IF(MOD(138,2)=0,0,Inputs!$B$22))</f>
        <v/>
      </c>
      <c r="D485" s="23" t="str">
        <f t="shared" si="79"/>
        <v/>
      </c>
      <c r="E485" s="25" t="str">
        <f t="shared" si="80"/>
        <v/>
      </c>
      <c r="F485" s="25" t="str">
        <f>IF($E485="","",ROUND(MIN(Comparison!$C$5,MAX(0,$E485+$H485)),2))</f>
        <v/>
      </c>
      <c r="G485" s="25" t="str">
        <f>IF($E485="","",ROUND(MIN(Inputs!$B$10,MAX(0,$E485+$H485-$F485)),2))</f>
        <v/>
      </c>
      <c r="H485" s="25" t="str">
        <f>IF($E485="","",ROUND(IF(Inputs!$B$12="Daily Simple Interest",$E485*Inputs!$B$6/Inputs!$B$17*$D485,$E485*Inputs!$B$6/Inputs!$B$19),2))</f>
        <v/>
      </c>
      <c r="I485" s="25" t="str">
        <f t="shared" si="72"/>
        <v/>
      </c>
      <c r="J485" s="25" t="str">
        <f>IF($E485="","",IF($F485+$G485&gt;0,Inputs!$B$11,0))</f>
        <v/>
      </c>
      <c r="K485" s="25" t="str">
        <f t="shared" si="73"/>
        <v/>
      </c>
      <c r="L485" s="25" t="str">
        <f t="shared" si="74"/>
        <v/>
      </c>
      <c r="M485" s="25" t="str">
        <f t="shared" si="75"/>
        <v/>
      </c>
      <c r="N485" s="84" t="str">
        <f t="shared" si="76"/>
        <v/>
      </c>
      <c r="O485" s="23" t="str">
        <f t="shared" si="77"/>
        <v/>
      </c>
    </row>
    <row r="486" spans="1:15" ht="20" customHeight="1">
      <c r="A486" s="22" t="str">
        <f t="shared" si="78"/>
        <v/>
      </c>
      <c r="B486" s="23" t="str">
        <f>IF($E486="","",140)</f>
        <v/>
      </c>
      <c r="C486" s="24" t="str">
        <f>IF($E486="","",EDATE(Inputs!$B$9,INT(139/2))+IF(MOD(139,2)=0,0,Inputs!$B$22))</f>
        <v/>
      </c>
      <c r="D486" s="23" t="str">
        <f t="shared" si="79"/>
        <v/>
      </c>
      <c r="E486" s="25" t="str">
        <f t="shared" si="80"/>
        <v/>
      </c>
      <c r="F486" s="25" t="str">
        <f>IF($E486="","",ROUND(MIN(Comparison!$C$5,MAX(0,$E486+$H486)),2))</f>
        <v/>
      </c>
      <c r="G486" s="25" t="str">
        <f>IF($E486="","",ROUND(MIN(Inputs!$B$10,MAX(0,$E486+$H486-$F486)),2))</f>
        <v/>
      </c>
      <c r="H486" s="25" t="str">
        <f>IF($E486="","",ROUND(IF(Inputs!$B$12="Daily Simple Interest",$E486*Inputs!$B$6/Inputs!$B$17*$D486,$E486*Inputs!$B$6/Inputs!$B$19),2))</f>
        <v/>
      </c>
      <c r="I486" s="25" t="str">
        <f t="shared" si="72"/>
        <v/>
      </c>
      <c r="J486" s="25" t="str">
        <f>IF($E486="","",IF($F486+$G486&gt;0,Inputs!$B$11,0))</f>
        <v/>
      </c>
      <c r="K486" s="25" t="str">
        <f t="shared" si="73"/>
        <v/>
      </c>
      <c r="L486" s="25" t="str">
        <f t="shared" si="74"/>
        <v/>
      </c>
      <c r="M486" s="25" t="str">
        <f t="shared" si="75"/>
        <v/>
      </c>
      <c r="N486" s="84" t="str">
        <f t="shared" si="76"/>
        <v/>
      </c>
      <c r="O486" s="23" t="str">
        <f t="shared" si="77"/>
        <v/>
      </c>
    </row>
    <row r="487" spans="1:15" ht="20" customHeight="1">
      <c r="A487" s="22" t="str">
        <f t="shared" si="78"/>
        <v/>
      </c>
      <c r="B487" s="23" t="str">
        <f>IF($E487="","",141)</f>
        <v/>
      </c>
      <c r="C487" s="24" t="str">
        <f>IF($E487="","",EDATE(Inputs!$B$9,INT(140/2))+IF(MOD(140,2)=0,0,Inputs!$B$22))</f>
        <v/>
      </c>
      <c r="D487" s="23" t="str">
        <f t="shared" si="79"/>
        <v/>
      </c>
      <c r="E487" s="25" t="str">
        <f t="shared" si="80"/>
        <v/>
      </c>
      <c r="F487" s="25" t="str">
        <f>IF($E487="","",ROUND(MIN(Comparison!$C$5,MAX(0,$E487+$H487)),2))</f>
        <v/>
      </c>
      <c r="G487" s="25" t="str">
        <f>IF($E487="","",ROUND(MIN(Inputs!$B$10,MAX(0,$E487+$H487-$F487)),2))</f>
        <v/>
      </c>
      <c r="H487" s="25" t="str">
        <f>IF($E487="","",ROUND(IF(Inputs!$B$12="Daily Simple Interest",$E487*Inputs!$B$6/Inputs!$B$17*$D487,$E487*Inputs!$B$6/Inputs!$B$19),2))</f>
        <v/>
      </c>
      <c r="I487" s="25" t="str">
        <f t="shared" si="72"/>
        <v/>
      </c>
      <c r="J487" s="25" t="str">
        <f>IF($E487="","",IF($F487+$G487&gt;0,Inputs!$B$11,0))</f>
        <v/>
      </c>
      <c r="K487" s="25" t="str">
        <f t="shared" si="73"/>
        <v/>
      </c>
      <c r="L487" s="25" t="str">
        <f t="shared" si="74"/>
        <v/>
      </c>
      <c r="M487" s="25" t="str">
        <f t="shared" si="75"/>
        <v/>
      </c>
      <c r="N487" s="84" t="str">
        <f t="shared" si="76"/>
        <v/>
      </c>
      <c r="O487" s="23" t="str">
        <f t="shared" si="77"/>
        <v/>
      </c>
    </row>
    <row r="488" spans="1:15" ht="20" customHeight="1">
      <c r="A488" s="22" t="str">
        <f t="shared" si="78"/>
        <v/>
      </c>
      <c r="B488" s="23" t="str">
        <f>IF($E488="","",142)</f>
        <v/>
      </c>
      <c r="C488" s="24" t="str">
        <f>IF($E488="","",EDATE(Inputs!$B$9,INT(141/2))+IF(MOD(141,2)=0,0,Inputs!$B$22))</f>
        <v/>
      </c>
      <c r="D488" s="23" t="str">
        <f t="shared" si="79"/>
        <v/>
      </c>
      <c r="E488" s="25" t="str">
        <f t="shared" si="80"/>
        <v/>
      </c>
      <c r="F488" s="25" t="str">
        <f>IF($E488="","",ROUND(MIN(Comparison!$C$5,MAX(0,$E488+$H488)),2))</f>
        <v/>
      </c>
      <c r="G488" s="25" t="str">
        <f>IF($E488="","",ROUND(MIN(Inputs!$B$10,MAX(0,$E488+$H488-$F488)),2))</f>
        <v/>
      </c>
      <c r="H488" s="25" t="str">
        <f>IF($E488="","",ROUND(IF(Inputs!$B$12="Daily Simple Interest",$E488*Inputs!$B$6/Inputs!$B$17*$D488,$E488*Inputs!$B$6/Inputs!$B$19),2))</f>
        <v/>
      </c>
      <c r="I488" s="25" t="str">
        <f t="shared" si="72"/>
        <v/>
      </c>
      <c r="J488" s="25" t="str">
        <f>IF($E488="","",IF($F488+$G488&gt;0,Inputs!$B$11,0))</f>
        <v/>
      </c>
      <c r="K488" s="25" t="str">
        <f t="shared" si="73"/>
        <v/>
      </c>
      <c r="L488" s="25" t="str">
        <f t="shared" si="74"/>
        <v/>
      </c>
      <c r="M488" s="25" t="str">
        <f t="shared" si="75"/>
        <v/>
      </c>
      <c r="N488" s="84" t="str">
        <f t="shared" si="76"/>
        <v/>
      </c>
      <c r="O488" s="23" t="str">
        <f t="shared" si="77"/>
        <v/>
      </c>
    </row>
    <row r="489" spans="1:15" ht="20" customHeight="1">
      <c r="A489" s="22" t="str">
        <f t="shared" si="78"/>
        <v/>
      </c>
      <c r="B489" s="23" t="str">
        <f>IF($E489="","",143)</f>
        <v/>
      </c>
      <c r="C489" s="24" t="str">
        <f>IF($E489="","",EDATE(Inputs!$B$9,INT(142/2))+IF(MOD(142,2)=0,0,Inputs!$B$22))</f>
        <v/>
      </c>
      <c r="D489" s="23" t="str">
        <f t="shared" si="79"/>
        <v/>
      </c>
      <c r="E489" s="25" t="str">
        <f t="shared" si="80"/>
        <v/>
      </c>
      <c r="F489" s="25" t="str">
        <f>IF($E489="","",ROUND(MIN(Comparison!$C$5,MAX(0,$E489+$H489)),2))</f>
        <v/>
      </c>
      <c r="G489" s="25" t="str">
        <f>IF($E489="","",ROUND(MIN(Inputs!$B$10,MAX(0,$E489+$H489-$F489)),2))</f>
        <v/>
      </c>
      <c r="H489" s="25" t="str">
        <f>IF($E489="","",ROUND(IF(Inputs!$B$12="Daily Simple Interest",$E489*Inputs!$B$6/Inputs!$B$17*$D489,$E489*Inputs!$B$6/Inputs!$B$19),2))</f>
        <v/>
      </c>
      <c r="I489" s="25" t="str">
        <f t="shared" si="72"/>
        <v/>
      </c>
      <c r="J489" s="25" t="str">
        <f>IF($E489="","",IF($F489+$G489&gt;0,Inputs!$B$11,0))</f>
        <v/>
      </c>
      <c r="K489" s="25" t="str">
        <f t="shared" si="73"/>
        <v/>
      </c>
      <c r="L489" s="25" t="str">
        <f t="shared" si="74"/>
        <v/>
      </c>
      <c r="M489" s="25" t="str">
        <f t="shared" si="75"/>
        <v/>
      </c>
      <c r="N489" s="84" t="str">
        <f t="shared" si="76"/>
        <v/>
      </c>
      <c r="O489" s="23" t="str">
        <f t="shared" si="77"/>
        <v/>
      </c>
    </row>
    <row r="490" spans="1:15" ht="20" customHeight="1">
      <c r="A490" s="22" t="str">
        <f t="shared" si="78"/>
        <v/>
      </c>
      <c r="B490" s="23" t="str">
        <f>IF($E490="","",144)</f>
        <v/>
      </c>
      <c r="C490" s="24" t="str">
        <f>IF($E490="","",EDATE(Inputs!$B$9,INT(143/2))+IF(MOD(143,2)=0,0,Inputs!$B$22))</f>
        <v/>
      </c>
      <c r="D490" s="23" t="str">
        <f t="shared" si="79"/>
        <v/>
      </c>
      <c r="E490" s="25" t="str">
        <f t="shared" si="80"/>
        <v/>
      </c>
      <c r="F490" s="25" t="str">
        <f>IF($E490="","",ROUND(MIN(Comparison!$C$5,MAX(0,$E490+$H490)),2))</f>
        <v/>
      </c>
      <c r="G490" s="25" t="str">
        <f>IF($E490="","",ROUND(MIN(Inputs!$B$10,MAX(0,$E490+$H490-$F490)),2))</f>
        <v/>
      </c>
      <c r="H490" s="25" t="str">
        <f>IF($E490="","",ROUND(IF(Inputs!$B$12="Daily Simple Interest",$E490*Inputs!$B$6/Inputs!$B$17*$D490,$E490*Inputs!$B$6/Inputs!$B$19),2))</f>
        <v/>
      </c>
      <c r="I490" s="25" t="str">
        <f t="shared" si="72"/>
        <v/>
      </c>
      <c r="J490" s="25" t="str">
        <f>IF($E490="","",IF($F490+$G490&gt;0,Inputs!$B$11,0))</f>
        <v/>
      </c>
      <c r="K490" s="25" t="str">
        <f t="shared" si="73"/>
        <v/>
      </c>
      <c r="L490" s="25" t="str">
        <f t="shared" si="74"/>
        <v/>
      </c>
      <c r="M490" s="25" t="str">
        <f t="shared" si="75"/>
        <v/>
      </c>
      <c r="N490" s="84" t="str">
        <f t="shared" si="76"/>
        <v/>
      </c>
      <c r="O490" s="23" t="str">
        <f t="shared" si="77"/>
        <v/>
      </c>
    </row>
    <row r="491" spans="1:15" ht="20" customHeight="1">
      <c r="A491" s="22" t="str">
        <f t="shared" si="78"/>
        <v/>
      </c>
      <c r="B491" s="23" t="str">
        <f>IF($E491="","",145)</f>
        <v/>
      </c>
      <c r="C491" s="24" t="str">
        <f>IF($E491="","",EDATE(Inputs!$B$9,INT(144/2))+IF(MOD(144,2)=0,0,Inputs!$B$22))</f>
        <v/>
      </c>
      <c r="D491" s="23" t="str">
        <f t="shared" si="79"/>
        <v/>
      </c>
      <c r="E491" s="25" t="str">
        <f t="shared" si="80"/>
        <v/>
      </c>
      <c r="F491" s="25" t="str">
        <f>IF($E491="","",ROUND(MIN(Comparison!$C$5,MAX(0,$E491+$H491)),2))</f>
        <v/>
      </c>
      <c r="G491" s="25" t="str">
        <f>IF($E491="","",ROUND(MIN(Inputs!$B$10,MAX(0,$E491+$H491-$F491)),2))</f>
        <v/>
      </c>
      <c r="H491" s="25" t="str">
        <f>IF($E491="","",ROUND(IF(Inputs!$B$12="Daily Simple Interest",$E491*Inputs!$B$6/Inputs!$B$17*$D491,$E491*Inputs!$B$6/Inputs!$B$19),2))</f>
        <v/>
      </c>
      <c r="I491" s="25" t="str">
        <f t="shared" si="72"/>
        <v/>
      </c>
      <c r="J491" s="25" t="str">
        <f>IF($E491="","",IF($F491+$G491&gt;0,Inputs!$B$11,0))</f>
        <v/>
      </c>
      <c r="K491" s="25" t="str">
        <f t="shared" si="73"/>
        <v/>
      </c>
      <c r="L491" s="25" t="str">
        <f t="shared" si="74"/>
        <v/>
      </c>
      <c r="M491" s="25" t="str">
        <f t="shared" si="75"/>
        <v/>
      </c>
      <c r="N491" s="84" t="str">
        <f t="shared" si="76"/>
        <v/>
      </c>
      <c r="O491" s="23" t="str">
        <f t="shared" si="77"/>
        <v/>
      </c>
    </row>
    <row r="492" spans="1:15" ht="20" customHeight="1">
      <c r="A492" s="22" t="str">
        <f t="shared" si="78"/>
        <v/>
      </c>
      <c r="B492" s="23" t="str">
        <f>IF($E492="","",146)</f>
        <v/>
      </c>
      <c r="C492" s="24" t="str">
        <f>IF($E492="","",EDATE(Inputs!$B$9,INT(145/2))+IF(MOD(145,2)=0,0,Inputs!$B$22))</f>
        <v/>
      </c>
      <c r="D492" s="23" t="str">
        <f t="shared" si="79"/>
        <v/>
      </c>
      <c r="E492" s="25" t="str">
        <f t="shared" si="80"/>
        <v/>
      </c>
      <c r="F492" s="25" t="str">
        <f>IF($E492="","",ROUND(MIN(Comparison!$C$5,MAX(0,$E492+$H492)),2))</f>
        <v/>
      </c>
      <c r="G492" s="25" t="str">
        <f>IF($E492="","",ROUND(MIN(Inputs!$B$10,MAX(0,$E492+$H492-$F492)),2))</f>
        <v/>
      </c>
      <c r="H492" s="25" t="str">
        <f>IF($E492="","",ROUND(IF(Inputs!$B$12="Daily Simple Interest",$E492*Inputs!$B$6/Inputs!$B$17*$D492,$E492*Inputs!$B$6/Inputs!$B$19),2))</f>
        <v/>
      </c>
      <c r="I492" s="25" t="str">
        <f t="shared" si="72"/>
        <v/>
      </c>
      <c r="J492" s="25" t="str">
        <f>IF($E492="","",IF($F492+$G492&gt;0,Inputs!$B$11,0))</f>
        <v/>
      </c>
      <c r="K492" s="25" t="str">
        <f t="shared" si="73"/>
        <v/>
      </c>
      <c r="L492" s="25" t="str">
        <f t="shared" si="74"/>
        <v/>
      </c>
      <c r="M492" s="25" t="str">
        <f t="shared" si="75"/>
        <v/>
      </c>
      <c r="N492" s="84" t="str">
        <f t="shared" si="76"/>
        <v/>
      </c>
      <c r="O492" s="23" t="str">
        <f t="shared" si="77"/>
        <v/>
      </c>
    </row>
    <row r="493" spans="1:15" ht="20" customHeight="1">
      <c r="A493" s="22" t="str">
        <f t="shared" si="78"/>
        <v/>
      </c>
      <c r="B493" s="23" t="str">
        <f>IF($E493="","",147)</f>
        <v/>
      </c>
      <c r="C493" s="24" t="str">
        <f>IF($E493="","",EDATE(Inputs!$B$9,INT(146/2))+IF(MOD(146,2)=0,0,Inputs!$B$22))</f>
        <v/>
      </c>
      <c r="D493" s="23" t="str">
        <f t="shared" si="79"/>
        <v/>
      </c>
      <c r="E493" s="25" t="str">
        <f t="shared" si="80"/>
        <v/>
      </c>
      <c r="F493" s="25" t="str">
        <f>IF($E493="","",ROUND(MIN(Comparison!$C$5,MAX(0,$E493+$H493)),2))</f>
        <v/>
      </c>
      <c r="G493" s="25" t="str">
        <f>IF($E493="","",ROUND(MIN(Inputs!$B$10,MAX(0,$E493+$H493-$F493)),2))</f>
        <v/>
      </c>
      <c r="H493" s="25" t="str">
        <f>IF($E493="","",ROUND(IF(Inputs!$B$12="Daily Simple Interest",$E493*Inputs!$B$6/Inputs!$B$17*$D493,$E493*Inputs!$B$6/Inputs!$B$19),2))</f>
        <v/>
      </c>
      <c r="I493" s="25" t="str">
        <f t="shared" si="72"/>
        <v/>
      </c>
      <c r="J493" s="25" t="str">
        <f>IF($E493="","",IF($F493+$G493&gt;0,Inputs!$B$11,0))</f>
        <v/>
      </c>
      <c r="K493" s="25" t="str">
        <f t="shared" si="73"/>
        <v/>
      </c>
      <c r="L493" s="25" t="str">
        <f t="shared" si="74"/>
        <v/>
      </c>
      <c r="M493" s="25" t="str">
        <f t="shared" si="75"/>
        <v/>
      </c>
      <c r="N493" s="84" t="str">
        <f t="shared" si="76"/>
        <v/>
      </c>
      <c r="O493" s="23" t="str">
        <f t="shared" si="77"/>
        <v/>
      </c>
    </row>
    <row r="494" spans="1:15" ht="20" customHeight="1">
      <c r="A494" s="22" t="str">
        <f t="shared" si="78"/>
        <v/>
      </c>
      <c r="B494" s="23" t="str">
        <f>IF($E494="","",148)</f>
        <v/>
      </c>
      <c r="C494" s="24" t="str">
        <f>IF($E494="","",EDATE(Inputs!$B$9,INT(147/2))+IF(MOD(147,2)=0,0,Inputs!$B$22))</f>
        <v/>
      </c>
      <c r="D494" s="23" t="str">
        <f t="shared" si="79"/>
        <v/>
      </c>
      <c r="E494" s="25" t="str">
        <f t="shared" si="80"/>
        <v/>
      </c>
      <c r="F494" s="25" t="str">
        <f>IF($E494="","",ROUND(MIN(Comparison!$C$5,MAX(0,$E494+$H494)),2))</f>
        <v/>
      </c>
      <c r="G494" s="25" t="str">
        <f>IF($E494="","",ROUND(MIN(Inputs!$B$10,MAX(0,$E494+$H494-$F494)),2))</f>
        <v/>
      </c>
      <c r="H494" s="25" t="str">
        <f>IF($E494="","",ROUND(IF(Inputs!$B$12="Daily Simple Interest",$E494*Inputs!$B$6/Inputs!$B$17*$D494,$E494*Inputs!$B$6/Inputs!$B$19),2))</f>
        <v/>
      </c>
      <c r="I494" s="25" t="str">
        <f t="shared" si="72"/>
        <v/>
      </c>
      <c r="J494" s="25" t="str">
        <f>IF($E494="","",IF($F494+$G494&gt;0,Inputs!$B$11,0))</f>
        <v/>
      </c>
      <c r="K494" s="25" t="str">
        <f t="shared" si="73"/>
        <v/>
      </c>
      <c r="L494" s="25" t="str">
        <f t="shared" si="74"/>
        <v/>
      </c>
      <c r="M494" s="25" t="str">
        <f t="shared" si="75"/>
        <v/>
      </c>
      <c r="N494" s="84" t="str">
        <f t="shared" si="76"/>
        <v/>
      </c>
      <c r="O494" s="23" t="str">
        <f t="shared" si="77"/>
        <v/>
      </c>
    </row>
    <row r="495" spans="1:15" ht="20" customHeight="1">
      <c r="A495" s="22" t="str">
        <f t="shared" si="78"/>
        <v/>
      </c>
      <c r="B495" s="23" t="str">
        <f>IF($E495="","",149)</f>
        <v/>
      </c>
      <c r="C495" s="24" t="str">
        <f>IF($E495="","",EDATE(Inputs!$B$9,INT(148/2))+IF(MOD(148,2)=0,0,Inputs!$B$22))</f>
        <v/>
      </c>
      <c r="D495" s="23" t="str">
        <f t="shared" si="79"/>
        <v/>
      </c>
      <c r="E495" s="25" t="str">
        <f t="shared" si="80"/>
        <v/>
      </c>
      <c r="F495" s="25" t="str">
        <f>IF($E495="","",ROUND(MIN(Comparison!$C$5,MAX(0,$E495+$H495)),2))</f>
        <v/>
      </c>
      <c r="G495" s="25" t="str">
        <f>IF($E495="","",ROUND(MIN(Inputs!$B$10,MAX(0,$E495+$H495-$F495)),2))</f>
        <v/>
      </c>
      <c r="H495" s="25" t="str">
        <f>IF($E495="","",ROUND(IF(Inputs!$B$12="Daily Simple Interest",$E495*Inputs!$B$6/Inputs!$B$17*$D495,$E495*Inputs!$B$6/Inputs!$B$19),2))</f>
        <v/>
      </c>
      <c r="I495" s="25" t="str">
        <f t="shared" si="72"/>
        <v/>
      </c>
      <c r="J495" s="25" t="str">
        <f>IF($E495="","",IF($F495+$G495&gt;0,Inputs!$B$11,0))</f>
        <v/>
      </c>
      <c r="K495" s="25" t="str">
        <f t="shared" si="73"/>
        <v/>
      </c>
      <c r="L495" s="25" t="str">
        <f t="shared" si="74"/>
        <v/>
      </c>
      <c r="M495" s="25" t="str">
        <f t="shared" si="75"/>
        <v/>
      </c>
      <c r="N495" s="84" t="str">
        <f t="shared" si="76"/>
        <v/>
      </c>
      <c r="O495" s="23" t="str">
        <f t="shared" si="77"/>
        <v/>
      </c>
    </row>
    <row r="496" spans="1:15" ht="20" customHeight="1">
      <c r="A496" s="22" t="str">
        <f t="shared" si="78"/>
        <v/>
      </c>
      <c r="B496" s="23" t="str">
        <f>IF($E496="","",150)</f>
        <v/>
      </c>
      <c r="C496" s="24" t="str">
        <f>IF($E496="","",EDATE(Inputs!$B$9,INT(149/2))+IF(MOD(149,2)=0,0,Inputs!$B$22))</f>
        <v/>
      </c>
      <c r="D496" s="23" t="str">
        <f t="shared" si="79"/>
        <v/>
      </c>
      <c r="E496" s="25" t="str">
        <f t="shared" si="80"/>
        <v/>
      </c>
      <c r="F496" s="25" t="str">
        <f>IF($E496="","",ROUND(MIN(Comparison!$C$5,MAX(0,$E496+$H496)),2))</f>
        <v/>
      </c>
      <c r="G496" s="25" t="str">
        <f>IF($E496="","",ROUND(MIN(Inputs!$B$10,MAX(0,$E496+$H496-$F496)),2))</f>
        <v/>
      </c>
      <c r="H496" s="25" t="str">
        <f>IF($E496="","",ROUND(IF(Inputs!$B$12="Daily Simple Interest",$E496*Inputs!$B$6/Inputs!$B$17*$D496,$E496*Inputs!$B$6/Inputs!$B$19),2))</f>
        <v/>
      </c>
      <c r="I496" s="25" t="str">
        <f t="shared" si="72"/>
        <v/>
      </c>
      <c r="J496" s="25" t="str">
        <f>IF($E496="","",IF($F496+$G496&gt;0,Inputs!$B$11,0))</f>
        <v/>
      </c>
      <c r="K496" s="25" t="str">
        <f t="shared" si="73"/>
        <v/>
      </c>
      <c r="L496" s="25" t="str">
        <f t="shared" si="74"/>
        <v/>
      </c>
      <c r="M496" s="25" t="str">
        <f t="shared" si="75"/>
        <v/>
      </c>
      <c r="N496" s="84" t="str">
        <f t="shared" si="76"/>
        <v/>
      </c>
      <c r="O496" s="23" t="str">
        <f t="shared" si="77"/>
        <v/>
      </c>
    </row>
    <row r="497" spans="1:15" ht="20" customHeight="1">
      <c r="A497" s="22" t="str">
        <f t="shared" si="78"/>
        <v/>
      </c>
      <c r="B497" s="23" t="str">
        <f>IF($E497="","",151)</f>
        <v/>
      </c>
      <c r="C497" s="24" t="str">
        <f>IF($E497="","",EDATE(Inputs!$B$9,INT(150/2))+IF(MOD(150,2)=0,0,Inputs!$B$22))</f>
        <v/>
      </c>
      <c r="D497" s="23" t="str">
        <f t="shared" si="79"/>
        <v/>
      </c>
      <c r="E497" s="25" t="str">
        <f t="shared" si="80"/>
        <v/>
      </c>
      <c r="F497" s="25" t="str">
        <f>IF($E497="","",ROUND(MIN(Comparison!$C$5,MAX(0,$E497+$H497)),2))</f>
        <v/>
      </c>
      <c r="G497" s="25" t="str">
        <f>IF($E497="","",ROUND(MIN(Inputs!$B$10,MAX(0,$E497+$H497-$F497)),2))</f>
        <v/>
      </c>
      <c r="H497" s="25" t="str">
        <f>IF($E497="","",ROUND(IF(Inputs!$B$12="Daily Simple Interest",$E497*Inputs!$B$6/Inputs!$B$17*$D497,$E497*Inputs!$B$6/Inputs!$B$19),2))</f>
        <v/>
      </c>
      <c r="I497" s="25" t="str">
        <f t="shared" si="72"/>
        <v/>
      </c>
      <c r="J497" s="25" t="str">
        <f>IF($E497="","",IF($F497+$G497&gt;0,Inputs!$B$11,0))</f>
        <v/>
      </c>
      <c r="K497" s="25" t="str">
        <f t="shared" si="73"/>
        <v/>
      </c>
      <c r="L497" s="25" t="str">
        <f t="shared" si="74"/>
        <v/>
      </c>
      <c r="M497" s="25" t="str">
        <f t="shared" si="75"/>
        <v/>
      </c>
      <c r="N497" s="84" t="str">
        <f t="shared" si="76"/>
        <v/>
      </c>
      <c r="O497" s="23" t="str">
        <f t="shared" si="77"/>
        <v/>
      </c>
    </row>
    <row r="498" spans="1:15" ht="20" customHeight="1">
      <c r="A498" s="22" t="str">
        <f t="shared" si="78"/>
        <v/>
      </c>
      <c r="B498" s="23" t="str">
        <f>IF($E498="","",152)</f>
        <v/>
      </c>
      <c r="C498" s="24" t="str">
        <f>IF($E498="","",EDATE(Inputs!$B$9,INT(151/2))+IF(MOD(151,2)=0,0,Inputs!$B$22))</f>
        <v/>
      </c>
      <c r="D498" s="23" t="str">
        <f t="shared" si="79"/>
        <v/>
      </c>
      <c r="E498" s="25" t="str">
        <f t="shared" si="80"/>
        <v/>
      </c>
      <c r="F498" s="25" t="str">
        <f>IF($E498="","",ROUND(MIN(Comparison!$C$5,MAX(0,$E498+$H498)),2))</f>
        <v/>
      </c>
      <c r="G498" s="25" t="str">
        <f>IF($E498="","",ROUND(MIN(Inputs!$B$10,MAX(0,$E498+$H498-$F498)),2))</f>
        <v/>
      </c>
      <c r="H498" s="25" t="str">
        <f>IF($E498="","",ROUND(IF(Inputs!$B$12="Daily Simple Interest",$E498*Inputs!$B$6/Inputs!$B$17*$D498,$E498*Inputs!$B$6/Inputs!$B$19),2))</f>
        <v/>
      </c>
      <c r="I498" s="25" t="str">
        <f t="shared" si="72"/>
        <v/>
      </c>
      <c r="J498" s="25" t="str">
        <f>IF($E498="","",IF($F498+$G498&gt;0,Inputs!$B$11,0))</f>
        <v/>
      </c>
      <c r="K498" s="25" t="str">
        <f t="shared" si="73"/>
        <v/>
      </c>
      <c r="L498" s="25" t="str">
        <f t="shared" si="74"/>
        <v/>
      </c>
      <c r="M498" s="25" t="str">
        <f t="shared" si="75"/>
        <v/>
      </c>
      <c r="N498" s="84" t="str">
        <f t="shared" si="76"/>
        <v/>
      </c>
      <c r="O498" s="23" t="str">
        <f t="shared" si="77"/>
        <v/>
      </c>
    </row>
    <row r="499" spans="1:15" ht="20" customHeight="1">
      <c r="A499" s="22" t="str">
        <f t="shared" si="78"/>
        <v/>
      </c>
      <c r="B499" s="23" t="str">
        <f>IF($E499="","",153)</f>
        <v/>
      </c>
      <c r="C499" s="24" t="str">
        <f>IF($E499="","",EDATE(Inputs!$B$9,INT(152/2))+IF(MOD(152,2)=0,0,Inputs!$B$22))</f>
        <v/>
      </c>
      <c r="D499" s="23" t="str">
        <f t="shared" si="79"/>
        <v/>
      </c>
      <c r="E499" s="25" t="str">
        <f t="shared" si="80"/>
        <v/>
      </c>
      <c r="F499" s="25" t="str">
        <f>IF($E499="","",ROUND(MIN(Comparison!$C$5,MAX(0,$E499+$H499)),2))</f>
        <v/>
      </c>
      <c r="G499" s="25" t="str">
        <f>IF($E499="","",ROUND(MIN(Inputs!$B$10,MAX(0,$E499+$H499-$F499)),2))</f>
        <v/>
      </c>
      <c r="H499" s="25" t="str">
        <f>IF($E499="","",ROUND(IF(Inputs!$B$12="Daily Simple Interest",$E499*Inputs!$B$6/Inputs!$B$17*$D499,$E499*Inputs!$B$6/Inputs!$B$19),2))</f>
        <v/>
      </c>
      <c r="I499" s="25" t="str">
        <f t="shared" si="72"/>
        <v/>
      </c>
      <c r="J499" s="25" t="str">
        <f>IF($E499="","",IF($F499+$G499&gt;0,Inputs!$B$11,0))</f>
        <v/>
      </c>
      <c r="K499" s="25" t="str">
        <f t="shared" si="73"/>
        <v/>
      </c>
      <c r="L499" s="25" t="str">
        <f t="shared" si="74"/>
        <v/>
      </c>
      <c r="M499" s="25" t="str">
        <f t="shared" si="75"/>
        <v/>
      </c>
      <c r="N499" s="84" t="str">
        <f t="shared" si="76"/>
        <v/>
      </c>
      <c r="O499" s="23" t="str">
        <f t="shared" si="77"/>
        <v/>
      </c>
    </row>
    <row r="500" spans="1:15" ht="20" customHeight="1">
      <c r="A500" s="22" t="str">
        <f t="shared" si="78"/>
        <v/>
      </c>
      <c r="B500" s="23" t="str">
        <f>IF($E500="","",154)</f>
        <v/>
      </c>
      <c r="C500" s="24" t="str">
        <f>IF($E500="","",EDATE(Inputs!$B$9,INT(153/2))+IF(MOD(153,2)=0,0,Inputs!$B$22))</f>
        <v/>
      </c>
      <c r="D500" s="23" t="str">
        <f t="shared" si="79"/>
        <v/>
      </c>
      <c r="E500" s="25" t="str">
        <f t="shared" si="80"/>
        <v/>
      </c>
      <c r="F500" s="25" t="str">
        <f>IF($E500="","",ROUND(MIN(Comparison!$C$5,MAX(0,$E500+$H500)),2))</f>
        <v/>
      </c>
      <c r="G500" s="25" t="str">
        <f>IF($E500="","",ROUND(MIN(Inputs!$B$10,MAX(0,$E500+$H500-$F500)),2))</f>
        <v/>
      </c>
      <c r="H500" s="25" t="str">
        <f>IF($E500="","",ROUND(IF(Inputs!$B$12="Daily Simple Interest",$E500*Inputs!$B$6/Inputs!$B$17*$D500,$E500*Inputs!$B$6/Inputs!$B$19),2))</f>
        <v/>
      </c>
      <c r="I500" s="25" t="str">
        <f t="shared" si="72"/>
        <v/>
      </c>
      <c r="J500" s="25" t="str">
        <f>IF($E500="","",IF($F500+$G500&gt;0,Inputs!$B$11,0))</f>
        <v/>
      </c>
      <c r="K500" s="25" t="str">
        <f t="shared" si="73"/>
        <v/>
      </c>
      <c r="L500" s="25" t="str">
        <f t="shared" si="74"/>
        <v/>
      </c>
      <c r="M500" s="25" t="str">
        <f t="shared" si="75"/>
        <v/>
      </c>
      <c r="N500" s="84" t="str">
        <f t="shared" si="76"/>
        <v/>
      </c>
      <c r="O500" s="23" t="str">
        <f t="shared" si="77"/>
        <v/>
      </c>
    </row>
    <row r="501" spans="1:15" ht="20" customHeight="1">
      <c r="A501" s="22" t="str">
        <f t="shared" si="78"/>
        <v/>
      </c>
      <c r="B501" s="23" t="str">
        <f>IF($E501="","",155)</f>
        <v/>
      </c>
      <c r="C501" s="24" t="str">
        <f>IF($E501="","",EDATE(Inputs!$B$9,INT(154/2))+IF(MOD(154,2)=0,0,Inputs!$B$22))</f>
        <v/>
      </c>
      <c r="D501" s="23" t="str">
        <f t="shared" si="79"/>
        <v/>
      </c>
      <c r="E501" s="25" t="str">
        <f t="shared" si="80"/>
        <v/>
      </c>
      <c r="F501" s="25" t="str">
        <f>IF($E501="","",ROUND(MIN(Comparison!$C$5,MAX(0,$E501+$H501)),2))</f>
        <v/>
      </c>
      <c r="G501" s="25" t="str">
        <f>IF($E501="","",ROUND(MIN(Inputs!$B$10,MAX(0,$E501+$H501-$F501)),2))</f>
        <v/>
      </c>
      <c r="H501" s="25" t="str">
        <f>IF($E501="","",ROUND(IF(Inputs!$B$12="Daily Simple Interest",$E501*Inputs!$B$6/Inputs!$B$17*$D501,$E501*Inputs!$B$6/Inputs!$B$19),2))</f>
        <v/>
      </c>
      <c r="I501" s="25" t="str">
        <f t="shared" si="72"/>
        <v/>
      </c>
      <c r="J501" s="25" t="str">
        <f>IF($E501="","",IF($F501+$G501&gt;0,Inputs!$B$11,0))</f>
        <v/>
      </c>
      <c r="K501" s="25" t="str">
        <f t="shared" si="73"/>
        <v/>
      </c>
      <c r="L501" s="25" t="str">
        <f t="shared" si="74"/>
        <v/>
      </c>
      <c r="M501" s="25" t="str">
        <f t="shared" si="75"/>
        <v/>
      </c>
      <c r="N501" s="84" t="str">
        <f t="shared" si="76"/>
        <v/>
      </c>
      <c r="O501" s="23" t="str">
        <f t="shared" si="77"/>
        <v/>
      </c>
    </row>
    <row r="502" spans="1:15" ht="20" customHeight="1">
      <c r="A502" s="22" t="str">
        <f t="shared" si="78"/>
        <v/>
      </c>
      <c r="B502" s="23" t="str">
        <f>IF($E502="","",156)</f>
        <v/>
      </c>
      <c r="C502" s="24" t="str">
        <f>IF($E502="","",EDATE(Inputs!$B$9,INT(155/2))+IF(MOD(155,2)=0,0,Inputs!$B$22))</f>
        <v/>
      </c>
      <c r="D502" s="23" t="str">
        <f t="shared" si="79"/>
        <v/>
      </c>
      <c r="E502" s="25" t="str">
        <f t="shared" si="80"/>
        <v/>
      </c>
      <c r="F502" s="25" t="str">
        <f>IF($E502="","",ROUND(MIN(Comparison!$C$5,MAX(0,$E502+$H502)),2))</f>
        <v/>
      </c>
      <c r="G502" s="25" t="str">
        <f>IF($E502="","",ROUND(MIN(Inputs!$B$10,MAX(0,$E502+$H502-$F502)),2))</f>
        <v/>
      </c>
      <c r="H502" s="25" t="str">
        <f>IF($E502="","",ROUND(IF(Inputs!$B$12="Daily Simple Interest",$E502*Inputs!$B$6/Inputs!$B$17*$D502,$E502*Inputs!$B$6/Inputs!$B$19),2))</f>
        <v/>
      </c>
      <c r="I502" s="25" t="str">
        <f t="shared" si="72"/>
        <v/>
      </c>
      <c r="J502" s="25" t="str">
        <f>IF($E502="","",IF($F502+$G502&gt;0,Inputs!$B$11,0))</f>
        <v/>
      </c>
      <c r="K502" s="25" t="str">
        <f t="shared" si="73"/>
        <v/>
      </c>
      <c r="L502" s="25" t="str">
        <f t="shared" si="74"/>
        <v/>
      </c>
      <c r="M502" s="25" t="str">
        <f t="shared" si="75"/>
        <v/>
      </c>
      <c r="N502" s="84" t="str">
        <f t="shared" si="76"/>
        <v/>
      </c>
      <c r="O502" s="23" t="str">
        <f t="shared" si="77"/>
        <v/>
      </c>
    </row>
    <row r="503" spans="1:15" ht="20" customHeight="1">
      <c r="A503" s="22" t="str">
        <f t="shared" si="78"/>
        <v/>
      </c>
      <c r="B503" s="23" t="str">
        <f>IF($E503="","",157)</f>
        <v/>
      </c>
      <c r="C503" s="24" t="str">
        <f>IF($E503="","",EDATE(Inputs!$B$9,INT(156/2))+IF(MOD(156,2)=0,0,Inputs!$B$22))</f>
        <v/>
      </c>
      <c r="D503" s="23" t="str">
        <f t="shared" si="79"/>
        <v/>
      </c>
      <c r="E503" s="25" t="str">
        <f t="shared" si="80"/>
        <v/>
      </c>
      <c r="F503" s="25" t="str">
        <f>IF($E503="","",ROUND(MIN(Comparison!$C$5,MAX(0,$E503+$H503)),2))</f>
        <v/>
      </c>
      <c r="G503" s="25" t="str">
        <f>IF($E503="","",ROUND(MIN(Inputs!$B$10,MAX(0,$E503+$H503-$F503)),2))</f>
        <v/>
      </c>
      <c r="H503" s="25" t="str">
        <f>IF($E503="","",ROUND(IF(Inputs!$B$12="Daily Simple Interest",$E503*Inputs!$B$6/Inputs!$B$17*$D503,$E503*Inputs!$B$6/Inputs!$B$19),2))</f>
        <v/>
      </c>
      <c r="I503" s="25" t="str">
        <f t="shared" si="72"/>
        <v/>
      </c>
      <c r="J503" s="25" t="str">
        <f>IF($E503="","",IF($F503+$G503&gt;0,Inputs!$B$11,0))</f>
        <v/>
      </c>
      <c r="K503" s="25" t="str">
        <f t="shared" si="73"/>
        <v/>
      </c>
      <c r="L503" s="25" t="str">
        <f t="shared" si="74"/>
        <v/>
      </c>
      <c r="M503" s="25" t="str">
        <f t="shared" si="75"/>
        <v/>
      </c>
      <c r="N503" s="84" t="str">
        <f t="shared" si="76"/>
        <v/>
      </c>
      <c r="O503" s="23" t="str">
        <f t="shared" si="77"/>
        <v/>
      </c>
    </row>
    <row r="504" spans="1:15" ht="20" customHeight="1">
      <c r="A504" s="22" t="str">
        <f t="shared" si="78"/>
        <v/>
      </c>
      <c r="B504" s="23" t="str">
        <f>IF($E504="","",158)</f>
        <v/>
      </c>
      <c r="C504" s="24" t="str">
        <f>IF($E504="","",EDATE(Inputs!$B$9,INT(157/2))+IF(MOD(157,2)=0,0,Inputs!$B$22))</f>
        <v/>
      </c>
      <c r="D504" s="23" t="str">
        <f t="shared" si="79"/>
        <v/>
      </c>
      <c r="E504" s="25" t="str">
        <f t="shared" si="80"/>
        <v/>
      </c>
      <c r="F504" s="25" t="str">
        <f>IF($E504="","",ROUND(MIN(Comparison!$C$5,MAX(0,$E504+$H504)),2))</f>
        <v/>
      </c>
      <c r="G504" s="25" t="str">
        <f>IF($E504="","",ROUND(MIN(Inputs!$B$10,MAX(0,$E504+$H504-$F504)),2))</f>
        <v/>
      </c>
      <c r="H504" s="25" t="str">
        <f>IF($E504="","",ROUND(IF(Inputs!$B$12="Daily Simple Interest",$E504*Inputs!$B$6/Inputs!$B$17*$D504,$E504*Inputs!$B$6/Inputs!$B$19),2))</f>
        <v/>
      </c>
      <c r="I504" s="25" t="str">
        <f t="shared" si="72"/>
        <v/>
      </c>
      <c r="J504" s="25" t="str">
        <f>IF($E504="","",IF($F504+$G504&gt;0,Inputs!$B$11,0))</f>
        <v/>
      </c>
      <c r="K504" s="25" t="str">
        <f t="shared" si="73"/>
        <v/>
      </c>
      <c r="L504" s="25" t="str">
        <f t="shared" si="74"/>
        <v/>
      </c>
      <c r="M504" s="25" t="str">
        <f t="shared" si="75"/>
        <v/>
      </c>
      <c r="N504" s="84" t="str">
        <f t="shared" si="76"/>
        <v/>
      </c>
      <c r="O504" s="23" t="str">
        <f t="shared" si="77"/>
        <v/>
      </c>
    </row>
    <row r="505" spans="1:15" ht="20" customHeight="1">
      <c r="A505" s="22" t="str">
        <f t="shared" si="78"/>
        <v/>
      </c>
      <c r="B505" s="23" t="str">
        <f>IF($E505="","",159)</f>
        <v/>
      </c>
      <c r="C505" s="24" t="str">
        <f>IF($E505="","",EDATE(Inputs!$B$9,INT(158/2))+IF(MOD(158,2)=0,0,Inputs!$B$22))</f>
        <v/>
      </c>
      <c r="D505" s="23" t="str">
        <f t="shared" si="79"/>
        <v/>
      </c>
      <c r="E505" s="25" t="str">
        <f t="shared" si="80"/>
        <v/>
      </c>
      <c r="F505" s="25" t="str">
        <f>IF($E505="","",ROUND(MIN(Comparison!$C$5,MAX(0,$E505+$H505)),2))</f>
        <v/>
      </c>
      <c r="G505" s="25" t="str">
        <f>IF($E505="","",ROUND(MIN(Inputs!$B$10,MAX(0,$E505+$H505-$F505)),2))</f>
        <v/>
      </c>
      <c r="H505" s="25" t="str">
        <f>IF($E505="","",ROUND(IF(Inputs!$B$12="Daily Simple Interest",$E505*Inputs!$B$6/Inputs!$B$17*$D505,$E505*Inputs!$B$6/Inputs!$B$19),2))</f>
        <v/>
      </c>
      <c r="I505" s="25" t="str">
        <f t="shared" si="72"/>
        <v/>
      </c>
      <c r="J505" s="25" t="str">
        <f>IF($E505="","",IF($F505+$G505&gt;0,Inputs!$B$11,0))</f>
        <v/>
      </c>
      <c r="K505" s="25" t="str">
        <f t="shared" si="73"/>
        <v/>
      </c>
      <c r="L505" s="25" t="str">
        <f t="shared" si="74"/>
        <v/>
      </c>
      <c r="M505" s="25" t="str">
        <f t="shared" si="75"/>
        <v/>
      </c>
      <c r="N505" s="84" t="str">
        <f t="shared" si="76"/>
        <v/>
      </c>
      <c r="O505" s="23" t="str">
        <f t="shared" si="77"/>
        <v/>
      </c>
    </row>
    <row r="506" spans="1:15" ht="20" customHeight="1">
      <c r="A506" s="22" t="str">
        <f t="shared" si="78"/>
        <v/>
      </c>
      <c r="B506" s="23" t="str">
        <f>IF($E506="","",160)</f>
        <v/>
      </c>
      <c r="C506" s="24" t="str">
        <f>IF($E506="","",EDATE(Inputs!$B$9,INT(159/2))+IF(MOD(159,2)=0,0,Inputs!$B$22))</f>
        <v/>
      </c>
      <c r="D506" s="23" t="str">
        <f t="shared" si="79"/>
        <v/>
      </c>
      <c r="E506" s="25" t="str">
        <f t="shared" si="80"/>
        <v/>
      </c>
      <c r="F506" s="25" t="str">
        <f>IF($E506="","",ROUND(MIN(Comparison!$C$5,MAX(0,$E506+$H506)),2))</f>
        <v/>
      </c>
      <c r="G506" s="25" t="str">
        <f>IF($E506="","",ROUND(MIN(Inputs!$B$10,MAX(0,$E506+$H506-$F506)),2))</f>
        <v/>
      </c>
      <c r="H506" s="25" t="str">
        <f>IF($E506="","",ROUND(IF(Inputs!$B$12="Daily Simple Interest",$E506*Inputs!$B$6/Inputs!$B$17*$D506,$E506*Inputs!$B$6/Inputs!$B$19),2))</f>
        <v/>
      </c>
      <c r="I506" s="25" t="str">
        <f t="shared" si="72"/>
        <v/>
      </c>
      <c r="J506" s="25" t="str">
        <f>IF($E506="","",IF($F506+$G506&gt;0,Inputs!$B$11,0))</f>
        <v/>
      </c>
      <c r="K506" s="25" t="str">
        <f t="shared" si="73"/>
        <v/>
      </c>
      <c r="L506" s="25" t="str">
        <f t="shared" si="74"/>
        <v/>
      </c>
      <c r="M506" s="25" t="str">
        <f t="shared" si="75"/>
        <v/>
      </c>
      <c r="N506" s="84" t="str">
        <f t="shared" si="76"/>
        <v/>
      </c>
      <c r="O506" s="23" t="str">
        <f t="shared" si="77"/>
        <v/>
      </c>
    </row>
    <row r="507" spans="1:15" ht="20" customHeight="1">
      <c r="A507" s="22" t="str">
        <f t="shared" si="78"/>
        <v/>
      </c>
      <c r="B507" s="23" t="str">
        <f>IF($E507="","",161)</f>
        <v/>
      </c>
      <c r="C507" s="24" t="str">
        <f>IF($E507="","",EDATE(Inputs!$B$9,INT(160/2))+IF(MOD(160,2)=0,0,Inputs!$B$22))</f>
        <v/>
      </c>
      <c r="D507" s="23" t="str">
        <f t="shared" si="79"/>
        <v/>
      </c>
      <c r="E507" s="25" t="str">
        <f t="shared" si="80"/>
        <v/>
      </c>
      <c r="F507" s="25" t="str">
        <f>IF($E507="","",ROUND(MIN(Comparison!$C$5,MAX(0,$E507+$H507)),2))</f>
        <v/>
      </c>
      <c r="G507" s="25" t="str">
        <f>IF($E507="","",ROUND(MIN(Inputs!$B$10,MAX(0,$E507+$H507-$F507)),2))</f>
        <v/>
      </c>
      <c r="H507" s="25" t="str">
        <f>IF($E507="","",ROUND(IF(Inputs!$B$12="Daily Simple Interest",$E507*Inputs!$B$6/Inputs!$B$17*$D507,$E507*Inputs!$B$6/Inputs!$B$19),2))</f>
        <v/>
      </c>
      <c r="I507" s="25" t="str">
        <f t="shared" si="72"/>
        <v/>
      </c>
      <c r="J507" s="25" t="str">
        <f>IF($E507="","",IF($F507+$G507&gt;0,Inputs!$B$11,0))</f>
        <v/>
      </c>
      <c r="K507" s="25" t="str">
        <f t="shared" si="73"/>
        <v/>
      </c>
      <c r="L507" s="25" t="str">
        <f t="shared" si="74"/>
        <v/>
      </c>
      <c r="M507" s="25" t="str">
        <f t="shared" si="75"/>
        <v/>
      </c>
      <c r="N507" s="84" t="str">
        <f t="shared" si="76"/>
        <v/>
      </c>
      <c r="O507" s="23" t="str">
        <f t="shared" si="77"/>
        <v/>
      </c>
    </row>
    <row r="508" spans="1:15" ht="20" customHeight="1">
      <c r="A508" s="22" t="str">
        <f t="shared" si="78"/>
        <v/>
      </c>
      <c r="B508" s="23" t="str">
        <f>IF($E508="","",162)</f>
        <v/>
      </c>
      <c r="C508" s="24" t="str">
        <f>IF($E508="","",EDATE(Inputs!$B$9,INT(161/2))+IF(MOD(161,2)=0,0,Inputs!$B$22))</f>
        <v/>
      </c>
      <c r="D508" s="23" t="str">
        <f t="shared" si="79"/>
        <v/>
      </c>
      <c r="E508" s="25" t="str">
        <f t="shared" si="80"/>
        <v/>
      </c>
      <c r="F508" s="25" t="str">
        <f>IF($E508="","",ROUND(MIN(Comparison!$C$5,MAX(0,$E508+$H508)),2))</f>
        <v/>
      </c>
      <c r="G508" s="25" t="str">
        <f>IF($E508="","",ROUND(MIN(Inputs!$B$10,MAX(0,$E508+$H508-$F508)),2))</f>
        <v/>
      </c>
      <c r="H508" s="25" t="str">
        <f>IF($E508="","",ROUND(IF(Inputs!$B$12="Daily Simple Interest",$E508*Inputs!$B$6/Inputs!$B$17*$D508,$E508*Inputs!$B$6/Inputs!$B$19),2))</f>
        <v/>
      </c>
      <c r="I508" s="25" t="str">
        <f t="shared" si="72"/>
        <v/>
      </c>
      <c r="J508" s="25" t="str">
        <f>IF($E508="","",IF($F508+$G508&gt;0,Inputs!$B$11,0))</f>
        <v/>
      </c>
      <c r="K508" s="25" t="str">
        <f t="shared" si="73"/>
        <v/>
      </c>
      <c r="L508" s="25" t="str">
        <f t="shared" si="74"/>
        <v/>
      </c>
      <c r="M508" s="25" t="str">
        <f t="shared" si="75"/>
        <v/>
      </c>
      <c r="N508" s="84" t="str">
        <f t="shared" si="76"/>
        <v/>
      </c>
      <c r="O508" s="23" t="str">
        <f t="shared" si="77"/>
        <v/>
      </c>
    </row>
    <row r="509" spans="1:15" ht="20" customHeight="1">
      <c r="A509" s="22" t="str">
        <f t="shared" si="78"/>
        <v/>
      </c>
      <c r="B509" s="23" t="str">
        <f>IF($E509="","",163)</f>
        <v/>
      </c>
      <c r="C509" s="24" t="str">
        <f>IF($E509="","",EDATE(Inputs!$B$9,INT(162/2))+IF(MOD(162,2)=0,0,Inputs!$B$22))</f>
        <v/>
      </c>
      <c r="D509" s="23" t="str">
        <f t="shared" si="79"/>
        <v/>
      </c>
      <c r="E509" s="25" t="str">
        <f t="shared" si="80"/>
        <v/>
      </c>
      <c r="F509" s="25" t="str">
        <f>IF($E509="","",ROUND(MIN(Comparison!$C$5,MAX(0,$E509+$H509)),2))</f>
        <v/>
      </c>
      <c r="G509" s="25" t="str">
        <f>IF($E509="","",ROUND(MIN(Inputs!$B$10,MAX(0,$E509+$H509-$F509)),2))</f>
        <v/>
      </c>
      <c r="H509" s="25" t="str">
        <f>IF($E509="","",ROUND(IF(Inputs!$B$12="Daily Simple Interest",$E509*Inputs!$B$6/Inputs!$B$17*$D509,$E509*Inputs!$B$6/Inputs!$B$19),2))</f>
        <v/>
      </c>
      <c r="I509" s="25" t="str">
        <f t="shared" si="72"/>
        <v/>
      </c>
      <c r="J509" s="25" t="str">
        <f>IF($E509="","",IF($F509+$G509&gt;0,Inputs!$B$11,0))</f>
        <v/>
      </c>
      <c r="K509" s="25" t="str">
        <f t="shared" si="73"/>
        <v/>
      </c>
      <c r="L509" s="25" t="str">
        <f t="shared" si="74"/>
        <v/>
      </c>
      <c r="M509" s="25" t="str">
        <f t="shared" si="75"/>
        <v/>
      </c>
      <c r="N509" s="84" t="str">
        <f t="shared" si="76"/>
        <v/>
      </c>
      <c r="O509" s="23" t="str">
        <f t="shared" si="77"/>
        <v/>
      </c>
    </row>
    <row r="510" spans="1:15" ht="20" customHeight="1">
      <c r="A510" s="22" t="str">
        <f t="shared" si="78"/>
        <v/>
      </c>
      <c r="B510" s="23" t="str">
        <f>IF($E510="","",164)</f>
        <v/>
      </c>
      <c r="C510" s="24" t="str">
        <f>IF($E510="","",EDATE(Inputs!$B$9,INT(163/2))+IF(MOD(163,2)=0,0,Inputs!$B$22))</f>
        <v/>
      </c>
      <c r="D510" s="23" t="str">
        <f t="shared" si="79"/>
        <v/>
      </c>
      <c r="E510" s="25" t="str">
        <f t="shared" si="80"/>
        <v/>
      </c>
      <c r="F510" s="25" t="str">
        <f>IF($E510="","",ROUND(MIN(Comparison!$C$5,MAX(0,$E510+$H510)),2))</f>
        <v/>
      </c>
      <c r="G510" s="25" t="str">
        <f>IF($E510="","",ROUND(MIN(Inputs!$B$10,MAX(0,$E510+$H510-$F510)),2))</f>
        <v/>
      </c>
      <c r="H510" s="25" t="str">
        <f>IF($E510="","",ROUND(IF(Inputs!$B$12="Daily Simple Interest",$E510*Inputs!$B$6/Inputs!$B$17*$D510,$E510*Inputs!$B$6/Inputs!$B$19),2))</f>
        <v/>
      </c>
      <c r="I510" s="25" t="str">
        <f t="shared" si="72"/>
        <v/>
      </c>
      <c r="J510" s="25" t="str">
        <f>IF($E510="","",IF($F510+$G510&gt;0,Inputs!$B$11,0))</f>
        <v/>
      </c>
      <c r="K510" s="25" t="str">
        <f t="shared" si="73"/>
        <v/>
      </c>
      <c r="L510" s="25" t="str">
        <f t="shared" si="74"/>
        <v/>
      </c>
      <c r="M510" s="25" t="str">
        <f t="shared" si="75"/>
        <v/>
      </c>
      <c r="N510" s="84" t="str">
        <f t="shared" si="76"/>
        <v/>
      </c>
      <c r="O510" s="23" t="str">
        <f t="shared" si="77"/>
        <v/>
      </c>
    </row>
    <row r="511" spans="1:15" ht="20" customHeight="1">
      <c r="A511" s="22" t="str">
        <f t="shared" si="78"/>
        <v/>
      </c>
      <c r="B511" s="23" t="str">
        <f>IF($E511="","",165)</f>
        <v/>
      </c>
      <c r="C511" s="24" t="str">
        <f>IF($E511="","",EDATE(Inputs!$B$9,INT(164/2))+IF(MOD(164,2)=0,0,Inputs!$B$22))</f>
        <v/>
      </c>
      <c r="D511" s="23" t="str">
        <f t="shared" si="79"/>
        <v/>
      </c>
      <c r="E511" s="25" t="str">
        <f t="shared" si="80"/>
        <v/>
      </c>
      <c r="F511" s="25" t="str">
        <f>IF($E511="","",ROUND(MIN(Comparison!$C$5,MAX(0,$E511+$H511)),2))</f>
        <v/>
      </c>
      <c r="G511" s="25" t="str">
        <f>IF($E511="","",ROUND(MIN(Inputs!$B$10,MAX(0,$E511+$H511-$F511)),2))</f>
        <v/>
      </c>
      <c r="H511" s="25" t="str">
        <f>IF($E511="","",ROUND(IF(Inputs!$B$12="Daily Simple Interest",$E511*Inputs!$B$6/Inputs!$B$17*$D511,$E511*Inputs!$B$6/Inputs!$B$19),2))</f>
        <v/>
      </c>
      <c r="I511" s="25" t="str">
        <f t="shared" si="72"/>
        <v/>
      </c>
      <c r="J511" s="25" t="str">
        <f>IF($E511="","",IF($F511+$G511&gt;0,Inputs!$B$11,0))</f>
        <v/>
      </c>
      <c r="K511" s="25" t="str">
        <f t="shared" si="73"/>
        <v/>
      </c>
      <c r="L511" s="25" t="str">
        <f t="shared" si="74"/>
        <v/>
      </c>
      <c r="M511" s="25" t="str">
        <f t="shared" si="75"/>
        <v/>
      </c>
      <c r="N511" s="84" t="str">
        <f t="shared" si="76"/>
        <v/>
      </c>
      <c r="O511" s="23" t="str">
        <f t="shared" si="77"/>
        <v/>
      </c>
    </row>
    <row r="512" spans="1:15" ht="20" customHeight="1">
      <c r="A512" s="22" t="str">
        <f t="shared" si="78"/>
        <v/>
      </c>
      <c r="B512" s="23" t="str">
        <f>IF($E512="","",166)</f>
        <v/>
      </c>
      <c r="C512" s="24" t="str">
        <f>IF($E512="","",EDATE(Inputs!$B$9,INT(165/2))+IF(MOD(165,2)=0,0,Inputs!$B$22))</f>
        <v/>
      </c>
      <c r="D512" s="23" t="str">
        <f t="shared" si="79"/>
        <v/>
      </c>
      <c r="E512" s="25" t="str">
        <f t="shared" si="80"/>
        <v/>
      </c>
      <c r="F512" s="25" t="str">
        <f>IF($E512="","",ROUND(MIN(Comparison!$C$5,MAX(0,$E512+$H512)),2))</f>
        <v/>
      </c>
      <c r="G512" s="25" t="str">
        <f>IF($E512="","",ROUND(MIN(Inputs!$B$10,MAX(0,$E512+$H512-$F512)),2))</f>
        <v/>
      </c>
      <c r="H512" s="25" t="str">
        <f>IF($E512="","",ROUND(IF(Inputs!$B$12="Daily Simple Interest",$E512*Inputs!$B$6/Inputs!$B$17*$D512,$E512*Inputs!$B$6/Inputs!$B$19),2))</f>
        <v/>
      </c>
      <c r="I512" s="25" t="str">
        <f t="shared" si="72"/>
        <v/>
      </c>
      <c r="J512" s="25" t="str">
        <f>IF($E512="","",IF($F512+$G512&gt;0,Inputs!$B$11,0))</f>
        <v/>
      </c>
      <c r="K512" s="25" t="str">
        <f t="shared" si="73"/>
        <v/>
      </c>
      <c r="L512" s="25" t="str">
        <f t="shared" si="74"/>
        <v/>
      </c>
      <c r="M512" s="25" t="str">
        <f t="shared" si="75"/>
        <v/>
      </c>
      <c r="N512" s="84" t="str">
        <f t="shared" si="76"/>
        <v/>
      </c>
      <c r="O512" s="23" t="str">
        <f t="shared" si="77"/>
        <v/>
      </c>
    </row>
    <row r="513" spans="1:15" ht="20" customHeight="1">
      <c r="A513" s="22" t="str">
        <f t="shared" si="78"/>
        <v/>
      </c>
      <c r="B513" s="23" t="str">
        <f>IF($E513="","",167)</f>
        <v/>
      </c>
      <c r="C513" s="24" t="str">
        <f>IF($E513="","",EDATE(Inputs!$B$9,INT(166/2))+IF(MOD(166,2)=0,0,Inputs!$B$22))</f>
        <v/>
      </c>
      <c r="D513" s="23" t="str">
        <f t="shared" si="79"/>
        <v/>
      </c>
      <c r="E513" s="25" t="str">
        <f t="shared" si="80"/>
        <v/>
      </c>
      <c r="F513" s="25" t="str">
        <f>IF($E513="","",ROUND(MIN(Comparison!$C$5,MAX(0,$E513+$H513)),2))</f>
        <v/>
      </c>
      <c r="G513" s="25" t="str">
        <f>IF($E513="","",ROUND(MIN(Inputs!$B$10,MAX(0,$E513+$H513-$F513)),2))</f>
        <v/>
      </c>
      <c r="H513" s="25" t="str">
        <f>IF($E513="","",ROUND(IF(Inputs!$B$12="Daily Simple Interest",$E513*Inputs!$B$6/Inputs!$B$17*$D513,$E513*Inputs!$B$6/Inputs!$B$19),2))</f>
        <v/>
      </c>
      <c r="I513" s="25" t="str">
        <f t="shared" si="72"/>
        <v/>
      </c>
      <c r="J513" s="25" t="str">
        <f>IF($E513="","",IF($F513+$G513&gt;0,Inputs!$B$11,0))</f>
        <v/>
      </c>
      <c r="K513" s="25" t="str">
        <f t="shared" si="73"/>
        <v/>
      </c>
      <c r="L513" s="25" t="str">
        <f t="shared" si="74"/>
        <v/>
      </c>
      <c r="M513" s="25" t="str">
        <f t="shared" si="75"/>
        <v/>
      </c>
      <c r="N513" s="84" t="str">
        <f t="shared" si="76"/>
        <v/>
      </c>
      <c r="O513" s="23" t="str">
        <f t="shared" si="77"/>
        <v/>
      </c>
    </row>
    <row r="514" spans="1:15" ht="20" customHeight="1">
      <c r="A514" s="22" t="str">
        <f t="shared" si="78"/>
        <v/>
      </c>
      <c r="B514" s="23" t="str">
        <f>IF($E514="","",168)</f>
        <v/>
      </c>
      <c r="C514" s="24" t="str">
        <f>IF($E514="","",EDATE(Inputs!$B$9,INT(167/2))+IF(MOD(167,2)=0,0,Inputs!$B$22))</f>
        <v/>
      </c>
      <c r="D514" s="23" t="str">
        <f t="shared" si="79"/>
        <v/>
      </c>
      <c r="E514" s="25" t="str">
        <f t="shared" si="80"/>
        <v/>
      </c>
      <c r="F514" s="25" t="str">
        <f>IF($E514="","",ROUND(MIN(Comparison!$C$5,MAX(0,$E514+$H514)),2))</f>
        <v/>
      </c>
      <c r="G514" s="25" t="str">
        <f>IF($E514="","",ROUND(MIN(Inputs!$B$10,MAX(0,$E514+$H514-$F514)),2))</f>
        <v/>
      </c>
      <c r="H514" s="25" t="str">
        <f>IF($E514="","",ROUND(IF(Inputs!$B$12="Daily Simple Interest",$E514*Inputs!$B$6/Inputs!$B$17*$D514,$E514*Inputs!$B$6/Inputs!$B$19),2))</f>
        <v/>
      </c>
      <c r="I514" s="25" t="str">
        <f t="shared" si="72"/>
        <v/>
      </c>
      <c r="J514" s="25" t="str">
        <f>IF($E514="","",IF($F514+$G514&gt;0,Inputs!$B$11,0))</f>
        <v/>
      </c>
      <c r="K514" s="25" t="str">
        <f t="shared" si="73"/>
        <v/>
      </c>
      <c r="L514" s="25" t="str">
        <f t="shared" si="74"/>
        <v/>
      </c>
      <c r="M514" s="25" t="str">
        <f t="shared" si="75"/>
        <v/>
      </c>
      <c r="N514" s="84" t="str">
        <f t="shared" si="76"/>
        <v/>
      </c>
      <c r="O514" s="23" t="str">
        <f t="shared" si="77"/>
        <v/>
      </c>
    </row>
    <row r="515" spans="1:15" ht="20" customHeight="1">
      <c r="A515" s="22" t="str">
        <f t="shared" si="78"/>
        <v/>
      </c>
      <c r="B515" s="23" t="str">
        <f>IF($E515="","",169)</f>
        <v/>
      </c>
      <c r="C515" s="24" t="str">
        <f>IF($E515="","",EDATE(Inputs!$B$9,INT(168/2))+IF(MOD(168,2)=0,0,Inputs!$B$22))</f>
        <v/>
      </c>
      <c r="D515" s="23" t="str">
        <f t="shared" si="79"/>
        <v/>
      </c>
      <c r="E515" s="25" t="str">
        <f t="shared" si="80"/>
        <v/>
      </c>
      <c r="F515" s="25" t="str">
        <f>IF($E515="","",ROUND(MIN(Comparison!$C$5,MAX(0,$E515+$H515)),2))</f>
        <v/>
      </c>
      <c r="G515" s="25" t="str">
        <f>IF($E515="","",ROUND(MIN(Inputs!$B$10,MAX(0,$E515+$H515-$F515)),2))</f>
        <v/>
      </c>
      <c r="H515" s="25" t="str">
        <f>IF($E515="","",ROUND(IF(Inputs!$B$12="Daily Simple Interest",$E515*Inputs!$B$6/Inputs!$B$17*$D515,$E515*Inputs!$B$6/Inputs!$B$19),2))</f>
        <v/>
      </c>
      <c r="I515" s="25" t="str">
        <f t="shared" si="72"/>
        <v/>
      </c>
      <c r="J515" s="25" t="str">
        <f>IF($E515="","",IF($F515+$G515&gt;0,Inputs!$B$11,0))</f>
        <v/>
      </c>
      <c r="K515" s="25" t="str">
        <f t="shared" si="73"/>
        <v/>
      </c>
      <c r="L515" s="25" t="str">
        <f t="shared" si="74"/>
        <v/>
      </c>
      <c r="M515" s="25" t="str">
        <f t="shared" si="75"/>
        <v/>
      </c>
      <c r="N515" s="84" t="str">
        <f t="shared" si="76"/>
        <v/>
      </c>
      <c r="O515" s="23" t="str">
        <f t="shared" si="77"/>
        <v/>
      </c>
    </row>
    <row r="516" spans="1:15" ht="20" customHeight="1">
      <c r="A516" s="22" t="str">
        <f t="shared" si="78"/>
        <v/>
      </c>
      <c r="B516" s="23" t="str">
        <f>IF($E516="","",170)</f>
        <v/>
      </c>
      <c r="C516" s="24" t="str">
        <f>IF($E516="","",EDATE(Inputs!$B$9,INT(169/2))+IF(MOD(169,2)=0,0,Inputs!$B$22))</f>
        <v/>
      </c>
      <c r="D516" s="23" t="str">
        <f t="shared" si="79"/>
        <v/>
      </c>
      <c r="E516" s="25" t="str">
        <f t="shared" si="80"/>
        <v/>
      </c>
      <c r="F516" s="25" t="str">
        <f>IF($E516="","",ROUND(MIN(Comparison!$C$5,MAX(0,$E516+$H516)),2))</f>
        <v/>
      </c>
      <c r="G516" s="25" t="str">
        <f>IF($E516="","",ROUND(MIN(Inputs!$B$10,MAX(0,$E516+$H516-$F516)),2))</f>
        <v/>
      </c>
      <c r="H516" s="25" t="str">
        <f>IF($E516="","",ROUND(IF(Inputs!$B$12="Daily Simple Interest",$E516*Inputs!$B$6/Inputs!$B$17*$D516,$E516*Inputs!$B$6/Inputs!$B$19),2))</f>
        <v/>
      </c>
      <c r="I516" s="25" t="str">
        <f t="shared" si="72"/>
        <v/>
      </c>
      <c r="J516" s="25" t="str">
        <f>IF($E516="","",IF($F516+$G516&gt;0,Inputs!$B$11,0))</f>
        <v/>
      </c>
      <c r="K516" s="25" t="str">
        <f t="shared" si="73"/>
        <v/>
      </c>
      <c r="L516" s="25" t="str">
        <f t="shared" si="74"/>
        <v/>
      </c>
      <c r="M516" s="25" t="str">
        <f t="shared" si="75"/>
        <v/>
      </c>
      <c r="N516" s="84" t="str">
        <f t="shared" si="76"/>
        <v/>
      </c>
      <c r="O516" s="23" t="str">
        <f t="shared" si="77"/>
        <v/>
      </c>
    </row>
    <row r="517" spans="1:15" ht="20" customHeight="1">
      <c r="A517" s="22" t="str">
        <f t="shared" si="78"/>
        <v/>
      </c>
      <c r="B517" s="23" t="str">
        <f>IF($E517="","",171)</f>
        <v/>
      </c>
      <c r="C517" s="24" t="str">
        <f>IF($E517="","",EDATE(Inputs!$B$9,INT(170/2))+IF(MOD(170,2)=0,0,Inputs!$B$22))</f>
        <v/>
      </c>
      <c r="D517" s="23" t="str">
        <f t="shared" si="79"/>
        <v/>
      </c>
      <c r="E517" s="25" t="str">
        <f t="shared" si="80"/>
        <v/>
      </c>
      <c r="F517" s="25" t="str">
        <f>IF($E517="","",ROUND(MIN(Comparison!$C$5,MAX(0,$E517+$H517)),2))</f>
        <v/>
      </c>
      <c r="G517" s="25" t="str">
        <f>IF($E517="","",ROUND(MIN(Inputs!$B$10,MAX(0,$E517+$H517-$F517)),2))</f>
        <v/>
      </c>
      <c r="H517" s="25" t="str">
        <f>IF($E517="","",ROUND(IF(Inputs!$B$12="Daily Simple Interest",$E517*Inputs!$B$6/Inputs!$B$17*$D517,$E517*Inputs!$B$6/Inputs!$B$19),2))</f>
        <v/>
      </c>
      <c r="I517" s="25" t="str">
        <f t="shared" si="72"/>
        <v/>
      </c>
      <c r="J517" s="25" t="str">
        <f>IF($E517="","",IF($F517+$G517&gt;0,Inputs!$B$11,0))</f>
        <v/>
      </c>
      <c r="K517" s="25" t="str">
        <f t="shared" si="73"/>
        <v/>
      </c>
      <c r="L517" s="25" t="str">
        <f t="shared" si="74"/>
        <v/>
      </c>
      <c r="M517" s="25" t="str">
        <f t="shared" si="75"/>
        <v/>
      </c>
      <c r="N517" s="84" t="str">
        <f t="shared" si="76"/>
        <v/>
      </c>
      <c r="O517" s="23" t="str">
        <f t="shared" si="77"/>
        <v/>
      </c>
    </row>
    <row r="518" spans="1:15" ht="20" customHeight="1">
      <c r="A518" s="22" t="str">
        <f t="shared" si="78"/>
        <v/>
      </c>
      <c r="B518" s="23" t="str">
        <f>IF($E518="","",172)</f>
        <v/>
      </c>
      <c r="C518" s="24" t="str">
        <f>IF($E518="","",EDATE(Inputs!$B$9,INT(171/2))+IF(MOD(171,2)=0,0,Inputs!$B$22))</f>
        <v/>
      </c>
      <c r="D518" s="23" t="str">
        <f t="shared" si="79"/>
        <v/>
      </c>
      <c r="E518" s="25" t="str">
        <f t="shared" si="80"/>
        <v/>
      </c>
      <c r="F518" s="25" t="str">
        <f>IF($E518="","",ROUND(MIN(Comparison!$C$5,MAX(0,$E518+$H518)),2))</f>
        <v/>
      </c>
      <c r="G518" s="25" t="str">
        <f>IF($E518="","",ROUND(MIN(Inputs!$B$10,MAX(0,$E518+$H518-$F518)),2))</f>
        <v/>
      </c>
      <c r="H518" s="25" t="str">
        <f>IF($E518="","",ROUND(IF(Inputs!$B$12="Daily Simple Interest",$E518*Inputs!$B$6/Inputs!$B$17*$D518,$E518*Inputs!$B$6/Inputs!$B$19),2))</f>
        <v/>
      </c>
      <c r="I518" s="25" t="str">
        <f t="shared" si="72"/>
        <v/>
      </c>
      <c r="J518" s="25" t="str">
        <f>IF($E518="","",IF($F518+$G518&gt;0,Inputs!$B$11,0))</f>
        <v/>
      </c>
      <c r="K518" s="25" t="str">
        <f t="shared" si="73"/>
        <v/>
      </c>
      <c r="L518" s="25" t="str">
        <f t="shared" si="74"/>
        <v/>
      </c>
      <c r="M518" s="25" t="str">
        <f t="shared" si="75"/>
        <v/>
      </c>
      <c r="N518" s="84" t="str">
        <f t="shared" si="76"/>
        <v/>
      </c>
      <c r="O518" s="23" t="str">
        <f t="shared" si="77"/>
        <v/>
      </c>
    </row>
    <row r="519" spans="1:15" ht="20" customHeight="1">
      <c r="A519" s="22" t="str">
        <f t="shared" si="78"/>
        <v/>
      </c>
      <c r="B519" s="23" t="str">
        <f>IF($E519="","",173)</f>
        <v/>
      </c>
      <c r="C519" s="24" t="str">
        <f>IF($E519="","",EDATE(Inputs!$B$9,INT(172/2))+IF(MOD(172,2)=0,0,Inputs!$B$22))</f>
        <v/>
      </c>
      <c r="D519" s="23" t="str">
        <f t="shared" si="79"/>
        <v/>
      </c>
      <c r="E519" s="25" t="str">
        <f t="shared" si="80"/>
        <v/>
      </c>
      <c r="F519" s="25" t="str">
        <f>IF($E519="","",ROUND(MIN(Comparison!$C$5,MAX(0,$E519+$H519)),2))</f>
        <v/>
      </c>
      <c r="G519" s="25" t="str">
        <f>IF($E519="","",ROUND(MIN(Inputs!$B$10,MAX(0,$E519+$H519-$F519)),2))</f>
        <v/>
      </c>
      <c r="H519" s="25" t="str">
        <f>IF($E519="","",ROUND(IF(Inputs!$B$12="Daily Simple Interest",$E519*Inputs!$B$6/Inputs!$B$17*$D519,$E519*Inputs!$B$6/Inputs!$B$19),2))</f>
        <v/>
      </c>
      <c r="I519" s="25" t="str">
        <f t="shared" ref="I519:I582" si="81">IF($E519="","",ROUND($F519+$G519-$H519,2))</f>
        <v/>
      </c>
      <c r="J519" s="25" t="str">
        <f>IF($E519="","",IF($F519+$G519&gt;0,Inputs!$B$11,0))</f>
        <v/>
      </c>
      <c r="K519" s="25" t="str">
        <f t="shared" ref="K519:K582" si="82">IF($E519="","",ROUND(MAX(0,$E519-$I519),2))</f>
        <v/>
      </c>
      <c r="L519" s="25" t="str">
        <f t="shared" ref="L519:L582" si="83">IF($E519="","",$F519+$G519)</f>
        <v/>
      </c>
      <c r="M519" s="25" t="str">
        <f t="shared" ref="M519:M582" si="84">IF($E519="","",0)</f>
        <v/>
      </c>
      <c r="N519" s="84" t="str">
        <f t="shared" ref="N519:N582" si="85">IF($E519="","",IF($K519&lt;=0.005,"PAID OFF","ACTIVE"))</f>
        <v/>
      </c>
      <c r="O519" s="23" t="str">
        <f t="shared" ref="O519:O582" si="86">IF($E519="","",IF($F519+$G519&gt;0,1,0))</f>
        <v/>
      </c>
    </row>
    <row r="520" spans="1:15" ht="20" customHeight="1">
      <c r="A520" s="22" t="str">
        <f t="shared" si="78"/>
        <v/>
      </c>
      <c r="B520" s="23" t="str">
        <f>IF($E520="","",174)</f>
        <v/>
      </c>
      <c r="C520" s="24" t="str">
        <f>IF($E520="","",EDATE(Inputs!$B$9,INT(173/2))+IF(MOD(173,2)=0,0,Inputs!$B$22))</f>
        <v/>
      </c>
      <c r="D520" s="23" t="str">
        <f t="shared" si="79"/>
        <v/>
      </c>
      <c r="E520" s="25" t="str">
        <f t="shared" si="80"/>
        <v/>
      </c>
      <c r="F520" s="25" t="str">
        <f>IF($E520="","",ROUND(MIN(Comparison!$C$5,MAX(0,$E520+$H520)),2))</f>
        <v/>
      </c>
      <c r="G520" s="25" t="str">
        <f>IF($E520="","",ROUND(MIN(Inputs!$B$10,MAX(0,$E520+$H520-$F520)),2))</f>
        <v/>
      </c>
      <c r="H520" s="25" t="str">
        <f>IF($E520="","",ROUND(IF(Inputs!$B$12="Daily Simple Interest",$E520*Inputs!$B$6/Inputs!$B$17*$D520,$E520*Inputs!$B$6/Inputs!$B$19),2))</f>
        <v/>
      </c>
      <c r="I520" s="25" t="str">
        <f t="shared" si="81"/>
        <v/>
      </c>
      <c r="J520" s="25" t="str">
        <f>IF($E520="","",IF($F520+$G520&gt;0,Inputs!$B$11,0))</f>
        <v/>
      </c>
      <c r="K520" s="25" t="str">
        <f t="shared" si="82"/>
        <v/>
      </c>
      <c r="L520" s="25" t="str">
        <f t="shared" si="83"/>
        <v/>
      </c>
      <c r="M520" s="25" t="str">
        <f t="shared" si="84"/>
        <v/>
      </c>
      <c r="N520" s="84" t="str">
        <f t="shared" si="85"/>
        <v/>
      </c>
      <c r="O520" s="23" t="str">
        <f t="shared" si="86"/>
        <v/>
      </c>
    </row>
    <row r="521" spans="1:15" ht="20" customHeight="1">
      <c r="A521" s="22" t="str">
        <f t="shared" si="78"/>
        <v/>
      </c>
      <c r="B521" s="23" t="str">
        <f>IF($E521="","",175)</f>
        <v/>
      </c>
      <c r="C521" s="24" t="str">
        <f>IF($E521="","",EDATE(Inputs!$B$9,INT(174/2))+IF(MOD(174,2)=0,0,Inputs!$B$22))</f>
        <v/>
      </c>
      <c r="D521" s="23" t="str">
        <f t="shared" si="79"/>
        <v/>
      </c>
      <c r="E521" s="25" t="str">
        <f t="shared" si="80"/>
        <v/>
      </c>
      <c r="F521" s="25" t="str">
        <f>IF($E521="","",ROUND(MIN(Comparison!$C$5,MAX(0,$E521+$H521)),2))</f>
        <v/>
      </c>
      <c r="G521" s="25" t="str">
        <f>IF($E521="","",ROUND(MIN(Inputs!$B$10,MAX(0,$E521+$H521-$F521)),2))</f>
        <v/>
      </c>
      <c r="H521" s="25" t="str">
        <f>IF($E521="","",ROUND(IF(Inputs!$B$12="Daily Simple Interest",$E521*Inputs!$B$6/Inputs!$B$17*$D521,$E521*Inputs!$B$6/Inputs!$B$19),2))</f>
        <v/>
      </c>
      <c r="I521" s="25" t="str">
        <f t="shared" si="81"/>
        <v/>
      </c>
      <c r="J521" s="25" t="str">
        <f>IF($E521="","",IF($F521+$G521&gt;0,Inputs!$B$11,0))</f>
        <v/>
      </c>
      <c r="K521" s="25" t="str">
        <f t="shared" si="82"/>
        <v/>
      </c>
      <c r="L521" s="25" t="str">
        <f t="shared" si="83"/>
        <v/>
      </c>
      <c r="M521" s="25" t="str">
        <f t="shared" si="84"/>
        <v/>
      </c>
      <c r="N521" s="84" t="str">
        <f t="shared" si="85"/>
        <v/>
      </c>
      <c r="O521" s="23" t="str">
        <f t="shared" si="86"/>
        <v/>
      </c>
    </row>
    <row r="522" spans="1:15" ht="20" customHeight="1">
      <c r="A522" s="22" t="str">
        <f t="shared" si="78"/>
        <v/>
      </c>
      <c r="B522" s="23" t="str">
        <f>IF($E522="","",176)</f>
        <v/>
      </c>
      <c r="C522" s="24" t="str">
        <f>IF($E522="","",EDATE(Inputs!$B$9,INT(175/2))+IF(MOD(175,2)=0,0,Inputs!$B$22))</f>
        <v/>
      </c>
      <c r="D522" s="23" t="str">
        <f t="shared" si="79"/>
        <v/>
      </c>
      <c r="E522" s="25" t="str">
        <f t="shared" si="80"/>
        <v/>
      </c>
      <c r="F522" s="25" t="str">
        <f>IF($E522="","",ROUND(MIN(Comparison!$C$5,MAX(0,$E522+$H522)),2))</f>
        <v/>
      </c>
      <c r="G522" s="25" t="str">
        <f>IF($E522="","",ROUND(MIN(Inputs!$B$10,MAX(0,$E522+$H522-$F522)),2))</f>
        <v/>
      </c>
      <c r="H522" s="25" t="str">
        <f>IF($E522="","",ROUND(IF(Inputs!$B$12="Daily Simple Interest",$E522*Inputs!$B$6/Inputs!$B$17*$D522,$E522*Inputs!$B$6/Inputs!$B$19),2))</f>
        <v/>
      </c>
      <c r="I522" s="25" t="str">
        <f t="shared" si="81"/>
        <v/>
      </c>
      <c r="J522" s="25" t="str">
        <f>IF($E522="","",IF($F522+$G522&gt;0,Inputs!$B$11,0))</f>
        <v/>
      </c>
      <c r="K522" s="25" t="str">
        <f t="shared" si="82"/>
        <v/>
      </c>
      <c r="L522" s="25" t="str">
        <f t="shared" si="83"/>
        <v/>
      </c>
      <c r="M522" s="25" t="str">
        <f t="shared" si="84"/>
        <v/>
      </c>
      <c r="N522" s="84" t="str">
        <f t="shared" si="85"/>
        <v/>
      </c>
      <c r="O522" s="23" t="str">
        <f t="shared" si="86"/>
        <v/>
      </c>
    </row>
    <row r="523" spans="1:15" ht="20" customHeight="1">
      <c r="A523" s="22" t="str">
        <f t="shared" si="78"/>
        <v/>
      </c>
      <c r="B523" s="23" t="str">
        <f>IF($E523="","",177)</f>
        <v/>
      </c>
      <c r="C523" s="24" t="str">
        <f>IF($E523="","",EDATE(Inputs!$B$9,INT(176/2))+IF(MOD(176,2)=0,0,Inputs!$B$22))</f>
        <v/>
      </c>
      <c r="D523" s="23" t="str">
        <f t="shared" si="79"/>
        <v/>
      </c>
      <c r="E523" s="25" t="str">
        <f t="shared" si="80"/>
        <v/>
      </c>
      <c r="F523" s="25" t="str">
        <f>IF($E523="","",ROUND(MIN(Comparison!$C$5,MAX(0,$E523+$H523)),2))</f>
        <v/>
      </c>
      <c r="G523" s="25" t="str">
        <f>IF($E523="","",ROUND(MIN(Inputs!$B$10,MAX(0,$E523+$H523-$F523)),2))</f>
        <v/>
      </c>
      <c r="H523" s="25" t="str">
        <f>IF($E523="","",ROUND(IF(Inputs!$B$12="Daily Simple Interest",$E523*Inputs!$B$6/Inputs!$B$17*$D523,$E523*Inputs!$B$6/Inputs!$B$19),2))</f>
        <v/>
      </c>
      <c r="I523" s="25" t="str">
        <f t="shared" si="81"/>
        <v/>
      </c>
      <c r="J523" s="25" t="str">
        <f>IF($E523="","",IF($F523+$G523&gt;0,Inputs!$B$11,0))</f>
        <v/>
      </c>
      <c r="K523" s="25" t="str">
        <f t="shared" si="82"/>
        <v/>
      </c>
      <c r="L523" s="25" t="str">
        <f t="shared" si="83"/>
        <v/>
      </c>
      <c r="M523" s="25" t="str">
        <f t="shared" si="84"/>
        <v/>
      </c>
      <c r="N523" s="84" t="str">
        <f t="shared" si="85"/>
        <v/>
      </c>
      <c r="O523" s="23" t="str">
        <f t="shared" si="86"/>
        <v/>
      </c>
    </row>
    <row r="524" spans="1:15" ht="20" customHeight="1">
      <c r="A524" s="22" t="str">
        <f t="shared" si="78"/>
        <v/>
      </c>
      <c r="B524" s="23" t="str">
        <f>IF($E524="","",178)</f>
        <v/>
      </c>
      <c r="C524" s="24" t="str">
        <f>IF($E524="","",EDATE(Inputs!$B$9,INT(177/2))+IF(MOD(177,2)=0,0,Inputs!$B$22))</f>
        <v/>
      </c>
      <c r="D524" s="23" t="str">
        <f t="shared" si="79"/>
        <v/>
      </c>
      <c r="E524" s="25" t="str">
        <f t="shared" si="80"/>
        <v/>
      </c>
      <c r="F524" s="25" t="str">
        <f>IF($E524="","",ROUND(MIN(Comparison!$C$5,MAX(0,$E524+$H524)),2))</f>
        <v/>
      </c>
      <c r="G524" s="25" t="str">
        <f>IF($E524="","",ROUND(MIN(Inputs!$B$10,MAX(0,$E524+$H524-$F524)),2))</f>
        <v/>
      </c>
      <c r="H524" s="25" t="str">
        <f>IF($E524="","",ROUND(IF(Inputs!$B$12="Daily Simple Interest",$E524*Inputs!$B$6/Inputs!$B$17*$D524,$E524*Inputs!$B$6/Inputs!$B$19),2))</f>
        <v/>
      </c>
      <c r="I524" s="25" t="str">
        <f t="shared" si="81"/>
        <v/>
      </c>
      <c r="J524" s="25" t="str">
        <f>IF($E524="","",IF($F524+$G524&gt;0,Inputs!$B$11,0))</f>
        <v/>
      </c>
      <c r="K524" s="25" t="str">
        <f t="shared" si="82"/>
        <v/>
      </c>
      <c r="L524" s="25" t="str">
        <f t="shared" si="83"/>
        <v/>
      </c>
      <c r="M524" s="25" t="str">
        <f t="shared" si="84"/>
        <v/>
      </c>
      <c r="N524" s="84" t="str">
        <f t="shared" si="85"/>
        <v/>
      </c>
      <c r="O524" s="23" t="str">
        <f t="shared" si="86"/>
        <v/>
      </c>
    </row>
    <row r="525" spans="1:15" ht="20" customHeight="1">
      <c r="A525" s="22" t="str">
        <f t="shared" si="78"/>
        <v/>
      </c>
      <c r="B525" s="23" t="str">
        <f>IF($E525="","",179)</f>
        <v/>
      </c>
      <c r="C525" s="24" t="str">
        <f>IF($E525="","",EDATE(Inputs!$B$9,INT(178/2))+IF(MOD(178,2)=0,0,Inputs!$B$22))</f>
        <v/>
      </c>
      <c r="D525" s="23" t="str">
        <f t="shared" si="79"/>
        <v/>
      </c>
      <c r="E525" s="25" t="str">
        <f t="shared" si="80"/>
        <v/>
      </c>
      <c r="F525" s="25" t="str">
        <f>IF($E525="","",ROUND(MIN(Comparison!$C$5,MAX(0,$E525+$H525)),2))</f>
        <v/>
      </c>
      <c r="G525" s="25" t="str">
        <f>IF($E525="","",ROUND(MIN(Inputs!$B$10,MAX(0,$E525+$H525-$F525)),2))</f>
        <v/>
      </c>
      <c r="H525" s="25" t="str">
        <f>IF($E525="","",ROUND(IF(Inputs!$B$12="Daily Simple Interest",$E525*Inputs!$B$6/Inputs!$B$17*$D525,$E525*Inputs!$B$6/Inputs!$B$19),2))</f>
        <v/>
      </c>
      <c r="I525" s="25" t="str">
        <f t="shared" si="81"/>
        <v/>
      </c>
      <c r="J525" s="25" t="str">
        <f>IF($E525="","",IF($F525+$G525&gt;0,Inputs!$B$11,0))</f>
        <v/>
      </c>
      <c r="K525" s="25" t="str">
        <f t="shared" si="82"/>
        <v/>
      </c>
      <c r="L525" s="25" t="str">
        <f t="shared" si="83"/>
        <v/>
      </c>
      <c r="M525" s="25" t="str">
        <f t="shared" si="84"/>
        <v/>
      </c>
      <c r="N525" s="84" t="str">
        <f t="shared" si="85"/>
        <v/>
      </c>
      <c r="O525" s="23" t="str">
        <f t="shared" si="86"/>
        <v/>
      </c>
    </row>
    <row r="526" spans="1:15" ht="20" customHeight="1">
      <c r="A526" s="22" t="str">
        <f t="shared" si="78"/>
        <v/>
      </c>
      <c r="B526" s="23" t="str">
        <f>IF($E526="","",180)</f>
        <v/>
      </c>
      <c r="C526" s="24" t="str">
        <f>IF($E526="","",EDATE(Inputs!$B$9,INT(179/2))+IF(MOD(179,2)=0,0,Inputs!$B$22))</f>
        <v/>
      </c>
      <c r="D526" s="23" t="str">
        <f t="shared" si="79"/>
        <v/>
      </c>
      <c r="E526" s="25" t="str">
        <f t="shared" si="80"/>
        <v/>
      </c>
      <c r="F526" s="25" t="str">
        <f>IF($E526="","",ROUND(MIN(Comparison!$C$5,MAX(0,$E526+$H526)),2))</f>
        <v/>
      </c>
      <c r="G526" s="25" t="str">
        <f>IF($E526="","",ROUND(MIN(Inputs!$B$10,MAX(0,$E526+$H526-$F526)),2))</f>
        <v/>
      </c>
      <c r="H526" s="25" t="str">
        <f>IF($E526="","",ROUND(IF(Inputs!$B$12="Daily Simple Interest",$E526*Inputs!$B$6/Inputs!$B$17*$D526,$E526*Inputs!$B$6/Inputs!$B$19),2))</f>
        <v/>
      </c>
      <c r="I526" s="25" t="str">
        <f t="shared" si="81"/>
        <v/>
      </c>
      <c r="J526" s="25" t="str">
        <f>IF($E526="","",IF($F526+$G526&gt;0,Inputs!$B$11,0))</f>
        <v/>
      </c>
      <c r="K526" s="25" t="str">
        <f t="shared" si="82"/>
        <v/>
      </c>
      <c r="L526" s="25" t="str">
        <f t="shared" si="83"/>
        <v/>
      </c>
      <c r="M526" s="25" t="str">
        <f t="shared" si="84"/>
        <v/>
      </c>
      <c r="N526" s="84" t="str">
        <f t="shared" si="85"/>
        <v/>
      </c>
      <c r="O526" s="23" t="str">
        <f t="shared" si="86"/>
        <v/>
      </c>
    </row>
    <row r="527" spans="1:15" ht="20" customHeight="1">
      <c r="A527" s="22" t="str">
        <f t="shared" si="78"/>
        <v/>
      </c>
      <c r="B527" s="23" t="str">
        <f>IF($E527="","",181)</f>
        <v/>
      </c>
      <c r="C527" s="24" t="str">
        <f>IF($E527="","",EDATE(Inputs!$B$9,INT(180/2))+IF(MOD(180,2)=0,0,Inputs!$B$22))</f>
        <v/>
      </c>
      <c r="D527" s="23" t="str">
        <f t="shared" si="79"/>
        <v/>
      </c>
      <c r="E527" s="25" t="str">
        <f t="shared" si="80"/>
        <v/>
      </c>
      <c r="F527" s="25" t="str">
        <f>IF($E527="","",ROUND(MIN(Comparison!$C$5,MAX(0,$E527+$H527)),2))</f>
        <v/>
      </c>
      <c r="G527" s="25" t="str">
        <f>IF($E527="","",ROUND(MIN(Inputs!$B$10,MAX(0,$E527+$H527-$F527)),2))</f>
        <v/>
      </c>
      <c r="H527" s="25" t="str">
        <f>IF($E527="","",ROUND(IF(Inputs!$B$12="Daily Simple Interest",$E527*Inputs!$B$6/Inputs!$B$17*$D527,$E527*Inputs!$B$6/Inputs!$B$19),2))</f>
        <v/>
      </c>
      <c r="I527" s="25" t="str">
        <f t="shared" si="81"/>
        <v/>
      </c>
      <c r="J527" s="25" t="str">
        <f>IF($E527="","",IF($F527+$G527&gt;0,Inputs!$B$11,0))</f>
        <v/>
      </c>
      <c r="K527" s="25" t="str">
        <f t="shared" si="82"/>
        <v/>
      </c>
      <c r="L527" s="25" t="str">
        <f t="shared" si="83"/>
        <v/>
      </c>
      <c r="M527" s="25" t="str">
        <f t="shared" si="84"/>
        <v/>
      </c>
      <c r="N527" s="84" t="str">
        <f t="shared" si="85"/>
        <v/>
      </c>
      <c r="O527" s="23" t="str">
        <f t="shared" si="86"/>
        <v/>
      </c>
    </row>
    <row r="528" spans="1:15" ht="20" customHeight="1">
      <c r="A528" s="22" t="str">
        <f t="shared" si="78"/>
        <v/>
      </c>
      <c r="B528" s="23" t="str">
        <f>IF($E528="","",182)</f>
        <v/>
      </c>
      <c r="C528" s="24" t="str">
        <f>IF($E528="","",EDATE(Inputs!$B$9,INT(181/2))+IF(MOD(181,2)=0,0,Inputs!$B$22))</f>
        <v/>
      </c>
      <c r="D528" s="23" t="str">
        <f t="shared" si="79"/>
        <v/>
      </c>
      <c r="E528" s="25" t="str">
        <f t="shared" si="80"/>
        <v/>
      </c>
      <c r="F528" s="25" t="str">
        <f>IF($E528="","",ROUND(MIN(Comparison!$C$5,MAX(0,$E528+$H528)),2))</f>
        <v/>
      </c>
      <c r="G528" s="25" t="str">
        <f>IF($E528="","",ROUND(MIN(Inputs!$B$10,MAX(0,$E528+$H528-$F528)),2))</f>
        <v/>
      </c>
      <c r="H528" s="25" t="str">
        <f>IF($E528="","",ROUND(IF(Inputs!$B$12="Daily Simple Interest",$E528*Inputs!$B$6/Inputs!$B$17*$D528,$E528*Inputs!$B$6/Inputs!$B$19),2))</f>
        <v/>
      </c>
      <c r="I528" s="25" t="str">
        <f t="shared" si="81"/>
        <v/>
      </c>
      <c r="J528" s="25" t="str">
        <f>IF($E528="","",IF($F528+$G528&gt;0,Inputs!$B$11,0))</f>
        <v/>
      </c>
      <c r="K528" s="25" t="str">
        <f t="shared" si="82"/>
        <v/>
      </c>
      <c r="L528" s="25" t="str">
        <f t="shared" si="83"/>
        <v/>
      </c>
      <c r="M528" s="25" t="str">
        <f t="shared" si="84"/>
        <v/>
      </c>
      <c r="N528" s="84" t="str">
        <f t="shared" si="85"/>
        <v/>
      </c>
      <c r="O528" s="23" t="str">
        <f t="shared" si="86"/>
        <v/>
      </c>
    </row>
    <row r="529" spans="1:15" ht="20" customHeight="1">
      <c r="A529" s="22" t="str">
        <f t="shared" si="78"/>
        <v/>
      </c>
      <c r="B529" s="23" t="str">
        <f>IF($E529="","",183)</f>
        <v/>
      </c>
      <c r="C529" s="24" t="str">
        <f>IF($E529="","",EDATE(Inputs!$B$9,INT(182/2))+IF(MOD(182,2)=0,0,Inputs!$B$22))</f>
        <v/>
      </c>
      <c r="D529" s="23" t="str">
        <f t="shared" si="79"/>
        <v/>
      </c>
      <c r="E529" s="25" t="str">
        <f t="shared" si="80"/>
        <v/>
      </c>
      <c r="F529" s="25" t="str">
        <f>IF($E529="","",ROUND(MIN(Comparison!$C$5,MAX(0,$E529+$H529)),2))</f>
        <v/>
      </c>
      <c r="G529" s="25" t="str">
        <f>IF($E529="","",ROUND(MIN(Inputs!$B$10,MAX(0,$E529+$H529-$F529)),2))</f>
        <v/>
      </c>
      <c r="H529" s="25" t="str">
        <f>IF($E529="","",ROUND(IF(Inputs!$B$12="Daily Simple Interest",$E529*Inputs!$B$6/Inputs!$B$17*$D529,$E529*Inputs!$B$6/Inputs!$B$19),2))</f>
        <v/>
      </c>
      <c r="I529" s="25" t="str">
        <f t="shared" si="81"/>
        <v/>
      </c>
      <c r="J529" s="25" t="str">
        <f>IF($E529="","",IF($F529+$G529&gt;0,Inputs!$B$11,0))</f>
        <v/>
      </c>
      <c r="K529" s="25" t="str">
        <f t="shared" si="82"/>
        <v/>
      </c>
      <c r="L529" s="25" t="str">
        <f t="shared" si="83"/>
        <v/>
      </c>
      <c r="M529" s="25" t="str">
        <f t="shared" si="84"/>
        <v/>
      </c>
      <c r="N529" s="84" t="str">
        <f t="shared" si="85"/>
        <v/>
      </c>
      <c r="O529" s="23" t="str">
        <f t="shared" si="86"/>
        <v/>
      </c>
    </row>
    <row r="530" spans="1:15" ht="20" customHeight="1">
      <c r="A530" s="22" t="str">
        <f t="shared" si="78"/>
        <v/>
      </c>
      <c r="B530" s="23" t="str">
        <f>IF($E530="","",184)</f>
        <v/>
      </c>
      <c r="C530" s="24" t="str">
        <f>IF($E530="","",EDATE(Inputs!$B$9,INT(183/2))+IF(MOD(183,2)=0,0,Inputs!$B$22))</f>
        <v/>
      </c>
      <c r="D530" s="23" t="str">
        <f t="shared" si="79"/>
        <v/>
      </c>
      <c r="E530" s="25" t="str">
        <f t="shared" si="80"/>
        <v/>
      </c>
      <c r="F530" s="25" t="str">
        <f>IF($E530="","",ROUND(MIN(Comparison!$C$5,MAX(0,$E530+$H530)),2))</f>
        <v/>
      </c>
      <c r="G530" s="25" t="str">
        <f>IF($E530="","",ROUND(MIN(Inputs!$B$10,MAX(0,$E530+$H530-$F530)),2))</f>
        <v/>
      </c>
      <c r="H530" s="25" t="str">
        <f>IF($E530="","",ROUND(IF(Inputs!$B$12="Daily Simple Interest",$E530*Inputs!$B$6/Inputs!$B$17*$D530,$E530*Inputs!$B$6/Inputs!$B$19),2))</f>
        <v/>
      </c>
      <c r="I530" s="25" t="str">
        <f t="shared" si="81"/>
        <v/>
      </c>
      <c r="J530" s="25" t="str">
        <f>IF($E530="","",IF($F530+$G530&gt;0,Inputs!$B$11,0))</f>
        <v/>
      </c>
      <c r="K530" s="25" t="str">
        <f t="shared" si="82"/>
        <v/>
      </c>
      <c r="L530" s="25" t="str">
        <f t="shared" si="83"/>
        <v/>
      </c>
      <c r="M530" s="25" t="str">
        <f t="shared" si="84"/>
        <v/>
      </c>
      <c r="N530" s="84" t="str">
        <f t="shared" si="85"/>
        <v/>
      </c>
      <c r="O530" s="23" t="str">
        <f t="shared" si="86"/>
        <v/>
      </c>
    </row>
    <row r="531" spans="1:15" ht="20" customHeight="1">
      <c r="A531" s="22" t="str">
        <f t="shared" si="78"/>
        <v/>
      </c>
      <c r="B531" s="23" t="str">
        <f>IF($E531="","",185)</f>
        <v/>
      </c>
      <c r="C531" s="24" t="str">
        <f>IF($E531="","",EDATE(Inputs!$B$9,INT(184/2))+IF(MOD(184,2)=0,0,Inputs!$B$22))</f>
        <v/>
      </c>
      <c r="D531" s="23" t="str">
        <f t="shared" si="79"/>
        <v/>
      </c>
      <c r="E531" s="25" t="str">
        <f t="shared" si="80"/>
        <v/>
      </c>
      <c r="F531" s="25" t="str">
        <f>IF($E531="","",ROUND(MIN(Comparison!$C$5,MAX(0,$E531+$H531)),2))</f>
        <v/>
      </c>
      <c r="G531" s="25" t="str">
        <f>IF($E531="","",ROUND(MIN(Inputs!$B$10,MAX(0,$E531+$H531-$F531)),2))</f>
        <v/>
      </c>
      <c r="H531" s="25" t="str">
        <f>IF($E531="","",ROUND(IF(Inputs!$B$12="Daily Simple Interest",$E531*Inputs!$B$6/Inputs!$B$17*$D531,$E531*Inputs!$B$6/Inputs!$B$19),2))</f>
        <v/>
      </c>
      <c r="I531" s="25" t="str">
        <f t="shared" si="81"/>
        <v/>
      </c>
      <c r="J531" s="25" t="str">
        <f>IF($E531="","",IF($F531+$G531&gt;0,Inputs!$B$11,0))</f>
        <v/>
      </c>
      <c r="K531" s="25" t="str">
        <f t="shared" si="82"/>
        <v/>
      </c>
      <c r="L531" s="25" t="str">
        <f t="shared" si="83"/>
        <v/>
      </c>
      <c r="M531" s="25" t="str">
        <f t="shared" si="84"/>
        <v/>
      </c>
      <c r="N531" s="84" t="str">
        <f t="shared" si="85"/>
        <v/>
      </c>
      <c r="O531" s="23" t="str">
        <f t="shared" si="86"/>
        <v/>
      </c>
    </row>
    <row r="532" spans="1:15" ht="20" customHeight="1">
      <c r="A532" s="22" t="str">
        <f t="shared" si="78"/>
        <v/>
      </c>
      <c r="B532" s="23" t="str">
        <f>IF($E532="","",186)</f>
        <v/>
      </c>
      <c r="C532" s="24" t="str">
        <f>IF($E532="","",EDATE(Inputs!$B$9,INT(185/2))+IF(MOD(185,2)=0,0,Inputs!$B$22))</f>
        <v/>
      </c>
      <c r="D532" s="23" t="str">
        <f t="shared" si="79"/>
        <v/>
      </c>
      <c r="E532" s="25" t="str">
        <f t="shared" si="80"/>
        <v/>
      </c>
      <c r="F532" s="25" t="str">
        <f>IF($E532="","",ROUND(MIN(Comparison!$C$5,MAX(0,$E532+$H532)),2))</f>
        <v/>
      </c>
      <c r="G532" s="25" t="str">
        <f>IF($E532="","",ROUND(MIN(Inputs!$B$10,MAX(0,$E532+$H532-$F532)),2))</f>
        <v/>
      </c>
      <c r="H532" s="25" t="str">
        <f>IF($E532="","",ROUND(IF(Inputs!$B$12="Daily Simple Interest",$E532*Inputs!$B$6/Inputs!$B$17*$D532,$E532*Inputs!$B$6/Inputs!$B$19),2))</f>
        <v/>
      </c>
      <c r="I532" s="25" t="str">
        <f t="shared" si="81"/>
        <v/>
      </c>
      <c r="J532" s="25" t="str">
        <f>IF($E532="","",IF($F532+$G532&gt;0,Inputs!$B$11,0))</f>
        <v/>
      </c>
      <c r="K532" s="25" t="str">
        <f t="shared" si="82"/>
        <v/>
      </c>
      <c r="L532" s="25" t="str">
        <f t="shared" si="83"/>
        <v/>
      </c>
      <c r="M532" s="25" t="str">
        <f t="shared" si="84"/>
        <v/>
      </c>
      <c r="N532" s="84" t="str">
        <f t="shared" si="85"/>
        <v/>
      </c>
      <c r="O532" s="23" t="str">
        <f t="shared" si="86"/>
        <v/>
      </c>
    </row>
    <row r="533" spans="1:15" ht="20" customHeight="1">
      <c r="A533" s="22" t="str">
        <f t="shared" si="78"/>
        <v/>
      </c>
      <c r="B533" s="23" t="str">
        <f>IF($E533="","",187)</f>
        <v/>
      </c>
      <c r="C533" s="24" t="str">
        <f>IF($E533="","",EDATE(Inputs!$B$9,INT(186/2))+IF(MOD(186,2)=0,0,Inputs!$B$22))</f>
        <v/>
      </c>
      <c r="D533" s="23" t="str">
        <f t="shared" si="79"/>
        <v/>
      </c>
      <c r="E533" s="25" t="str">
        <f t="shared" si="80"/>
        <v/>
      </c>
      <c r="F533" s="25" t="str">
        <f>IF($E533="","",ROUND(MIN(Comparison!$C$5,MAX(0,$E533+$H533)),2))</f>
        <v/>
      </c>
      <c r="G533" s="25" t="str">
        <f>IF($E533="","",ROUND(MIN(Inputs!$B$10,MAX(0,$E533+$H533-$F533)),2))</f>
        <v/>
      </c>
      <c r="H533" s="25" t="str">
        <f>IF($E533="","",ROUND(IF(Inputs!$B$12="Daily Simple Interest",$E533*Inputs!$B$6/Inputs!$B$17*$D533,$E533*Inputs!$B$6/Inputs!$B$19),2))</f>
        <v/>
      </c>
      <c r="I533" s="25" t="str">
        <f t="shared" si="81"/>
        <v/>
      </c>
      <c r="J533" s="25" t="str">
        <f>IF($E533="","",IF($F533+$G533&gt;0,Inputs!$B$11,0))</f>
        <v/>
      </c>
      <c r="K533" s="25" t="str">
        <f t="shared" si="82"/>
        <v/>
      </c>
      <c r="L533" s="25" t="str">
        <f t="shared" si="83"/>
        <v/>
      </c>
      <c r="M533" s="25" t="str">
        <f t="shared" si="84"/>
        <v/>
      </c>
      <c r="N533" s="84" t="str">
        <f t="shared" si="85"/>
        <v/>
      </c>
      <c r="O533" s="23" t="str">
        <f t="shared" si="86"/>
        <v/>
      </c>
    </row>
    <row r="534" spans="1:15" ht="20" customHeight="1">
      <c r="A534" s="22" t="str">
        <f t="shared" si="78"/>
        <v/>
      </c>
      <c r="B534" s="23" t="str">
        <f>IF($E534="","",188)</f>
        <v/>
      </c>
      <c r="C534" s="24" t="str">
        <f>IF($E534="","",EDATE(Inputs!$B$9,INT(187/2))+IF(MOD(187,2)=0,0,Inputs!$B$22))</f>
        <v/>
      </c>
      <c r="D534" s="23" t="str">
        <f t="shared" si="79"/>
        <v/>
      </c>
      <c r="E534" s="25" t="str">
        <f t="shared" si="80"/>
        <v/>
      </c>
      <c r="F534" s="25" t="str">
        <f>IF($E534="","",ROUND(MIN(Comparison!$C$5,MAX(0,$E534+$H534)),2))</f>
        <v/>
      </c>
      <c r="G534" s="25" t="str">
        <f>IF($E534="","",ROUND(MIN(Inputs!$B$10,MAX(0,$E534+$H534-$F534)),2))</f>
        <v/>
      </c>
      <c r="H534" s="25" t="str">
        <f>IF($E534="","",ROUND(IF(Inputs!$B$12="Daily Simple Interest",$E534*Inputs!$B$6/Inputs!$B$17*$D534,$E534*Inputs!$B$6/Inputs!$B$19),2))</f>
        <v/>
      </c>
      <c r="I534" s="25" t="str">
        <f t="shared" si="81"/>
        <v/>
      </c>
      <c r="J534" s="25" t="str">
        <f>IF($E534="","",IF($F534+$G534&gt;0,Inputs!$B$11,0))</f>
        <v/>
      </c>
      <c r="K534" s="25" t="str">
        <f t="shared" si="82"/>
        <v/>
      </c>
      <c r="L534" s="25" t="str">
        <f t="shared" si="83"/>
        <v/>
      </c>
      <c r="M534" s="25" t="str">
        <f t="shared" si="84"/>
        <v/>
      </c>
      <c r="N534" s="84" t="str">
        <f t="shared" si="85"/>
        <v/>
      </c>
      <c r="O534" s="23" t="str">
        <f t="shared" si="86"/>
        <v/>
      </c>
    </row>
    <row r="535" spans="1:15" ht="20" customHeight="1">
      <c r="A535" s="22" t="str">
        <f t="shared" si="78"/>
        <v/>
      </c>
      <c r="B535" s="23" t="str">
        <f>IF($E535="","",189)</f>
        <v/>
      </c>
      <c r="C535" s="24" t="str">
        <f>IF($E535="","",EDATE(Inputs!$B$9,INT(188/2))+IF(MOD(188,2)=0,0,Inputs!$B$22))</f>
        <v/>
      </c>
      <c r="D535" s="23" t="str">
        <f t="shared" si="79"/>
        <v/>
      </c>
      <c r="E535" s="25" t="str">
        <f t="shared" si="80"/>
        <v/>
      </c>
      <c r="F535" s="25" t="str">
        <f>IF($E535="","",ROUND(MIN(Comparison!$C$5,MAX(0,$E535+$H535)),2))</f>
        <v/>
      </c>
      <c r="G535" s="25" t="str">
        <f>IF($E535="","",ROUND(MIN(Inputs!$B$10,MAX(0,$E535+$H535-$F535)),2))</f>
        <v/>
      </c>
      <c r="H535" s="25" t="str">
        <f>IF($E535="","",ROUND(IF(Inputs!$B$12="Daily Simple Interest",$E535*Inputs!$B$6/Inputs!$B$17*$D535,$E535*Inputs!$B$6/Inputs!$B$19),2))</f>
        <v/>
      </c>
      <c r="I535" s="25" t="str">
        <f t="shared" si="81"/>
        <v/>
      </c>
      <c r="J535" s="25" t="str">
        <f>IF($E535="","",IF($F535+$G535&gt;0,Inputs!$B$11,0))</f>
        <v/>
      </c>
      <c r="K535" s="25" t="str">
        <f t="shared" si="82"/>
        <v/>
      </c>
      <c r="L535" s="25" t="str">
        <f t="shared" si="83"/>
        <v/>
      </c>
      <c r="M535" s="25" t="str">
        <f t="shared" si="84"/>
        <v/>
      </c>
      <c r="N535" s="84" t="str">
        <f t="shared" si="85"/>
        <v/>
      </c>
      <c r="O535" s="23" t="str">
        <f t="shared" si="86"/>
        <v/>
      </c>
    </row>
    <row r="536" spans="1:15" ht="20" customHeight="1">
      <c r="A536" s="22" t="str">
        <f t="shared" si="78"/>
        <v/>
      </c>
      <c r="B536" s="23" t="str">
        <f>IF($E536="","",190)</f>
        <v/>
      </c>
      <c r="C536" s="24" t="str">
        <f>IF($E536="","",EDATE(Inputs!$B$9,INT(189/2))+IF(MOD(189,2)=0,0,Inputs!$B$22))</f>
        <v/>
      </c>
      <c r="D536" s="23" t="str">
        <f t="shared" si="79"/>
        <v/>
      </c>
      <c r="E536" s="25" t="str">
        <f t="shared" si="80"/>
        <v/>
      </c>
      <c r="F536" s="25" t="str">
        <f>IF($E536="","",ROUND(MIN(Comparison!$C$5,MAX(0,$E536+$H536)),2))</f>
        <v/>
      </c>
      <c r="G536" s="25" t="str">
        <f>IF($E536="","",ROUND(MIN(Inputs!$B$10,MAX(0,$E536+$H536-$F536)),2))</f>
        <v/>
      </c>
      <c r="H536" s="25" t="str">
        <f>IF($E536="","",ROUND(IF(Inputs!$B$12="Daily Simple Interest",$E536*Inputs!$B$6/Inputs!$B$17*$D536,$E536*Inputs!$B$6/Inputs!$B$19),2))</f>
        <v/>
      </c>
      <c r="I536" s="25" t="str">
        <f t="shared" si="81"/>
        <v/>
      </c>
      <c r="J536" s="25" t="str">
        <f>IF($E536="","",IF($F536+$G536&gt;0,Inputs!$B$11,0))</f>
        <v/>
      </c>
      <c r="K536" s="25" t="str">
        <f t="shared" si="82"/>
        <v/>
      </c>
      <c r="L536" s="25" t="str">
        <f t="shared" si="83"/>
        <v/>
      </c>
      <c r="M536" s="25" t="str">
        <f t="shared" si="84"/>
        <v/>
      </c>
      <c r="N536" s="84" t="str">
        <f t="shared" si="85"/>
        <v/>
      </c>
      <c r="O536" s="23" t="str">
        <f t="shared" si="86"/>
        <v/>
      </c>
    </row>
    <row r="537" spans="1:15" ht="20" customHeight="1">
      <c r="A537" s="22" t="str">
        <f t="shared" si="78"/>
        <v/>
      </c>
      <c r="B537" s="23" t="str">
        <f>IF($E537="","",191)</f>
        <v/>
      </c>
      <c r="C537" s="24" t="str">
        <f>IF($E537="","",EDATE(Inputs!$B$9,INT(190/2))+IF(MOD(190,2)=0,0,Inputs!$B$22))</f>
        <v/>
      </c>
      <c r="D537" s="23" t="str">
        <f t="shared" si="79"/>
        <v/>
      </c>
      <c r="E537" s="25" t="str">
        <f t="shared" si="80"/>
        <v/>
      </c>
      <c r="F537" s="25" t="str">
        <f>IF($E537="","",ROUND(MIN(Comparison!$C$5,MAX(0,$E537+$H537)),2))</f>
        <v/>
      </c>
      <c r="G537" s="25" t="str">
        <f>IF($E537="","",ROUND(MIN(Inputs!$B$10,MAX(0,$E537+$H537-$F537)),2))</f>
        <v/>
      </c>
      <c r="H537" s="25" t="str">
        <f>IF($E537="","",ROUND(IF(Inputs!$B$12="Daily Simple Interest",$E537*Inputs!$B$6/Inputs!$B$17*$D537,$E537*Inputs!$B$6/Inputs!$B$19),2))</f>
        <v/>
      </c>
      <c r="I537" s="25" t="str">
        <f t="shared" si="81"/>
        <v/>
      </c>
      <c r="J537" s="25" t="str">
        <f>IF($E537="","",IF($F537+$G537&gt;0,Inputs!$B$11,0))</f>
        <v/>
      </c>
      <c r="K537" s="25" t="str">
        <f t="shared" si="82"/>
        <v/>
      </c>
      <c r="L537" s="25" t="str">
        <f t="shared" si="83"/>
        <v/>
      </c>
      <c r="M537" s="25" t="str">
        <f t="shared" si="84"/>
        <v/>
      </c>
      <c r="N537" s="84" t="str">
        <f t="shared" si="85"/>
        <v/>
      </c>
      <c r="O537" s="23" t="str">
        <f t="shared" si="86"/>
        <v/>
      </c>
    </row>
    <row r="538" spans="1:15" ht="20" customHeight="1">
      <c r="A538" s="22" t="str">
        <f t="shared" si="78"/>
        <v/>
      </c>
      <c r="B538" s="23" t="str">
        <f>IF($E538="","",192)</f>
        <v/>
      </c>
      <c r="C538" s="24" t="str">
        <f>IF($E538="","",EDATE(Inputs!$B$9,INT(191/2))+IF(MOD(191,2)=0,0,Inputs!$B$22))</f>
        <v/>
      </c>
      <c r="D538" s="23" t="str">
        <f t="shared" si="79"/>
        <v/>
      </c>
      <c r="E538" s="25" t="str">
        <f t="shared" si="80"/>
        <v/>
      </c>
      <c r="F538" s="25" t="str">
        <f>IF($E538="","",ROUND(MIN(Comparison!$C$5,MAX(0,$E538+$H538)),2))</f>
        <v/>
      </c>
      <c r="G538" s="25" t="str">
        <f>IF($E538="","",ROUND(MIN(Inputs!$B$10,MAX(0,$E538+$H538-$F538)),2))</f>
        <v/>
      </c>
      <c r="H538" s="25" t="str">
        <f>IF($E538="","",ROUND(IF(Inputs!$B$12="Daily Simple Interest",$E538*Inputs!$B$6/Inputs!$B$17*$D538,$E538*Inputs!$B$6/Inputs!$B$19),2))</f>
        <v/>
      </c>
      <c r="I538" s="25" t="str">
        <f t="shared" si="81"/>
        <v/>
      </c>
      <c r="J538" s="25" t="str">
        <f>IF($E538="","",IF($F538+$G538&gt;0,Inputs!$B$11,0))</f>
        <v/>
      </c>
      <c r="K538" s="25" t="str">
        <f t="shared" si="82"/>
        <v/>
      </c>
      <c r="L538" s="25" t="str">
        <f t="shared" si="83"/>
        <v/>
      </c>
      <c r="M538" s="25" t="str">
        <f t="shared" si="84"/>
        <v/>
      </c>
      <c r="N538" s="84" t="str">
        <f t="shared" si="85"/>
        <v/>
      </c>
      <c r="O538" s="23" t="str">
        <f t="shared" si="86"/>
        <v/>
      </c>
    </row>
    <row r="539" spans="1:15" ht="20" customHeight="1">
      <c r="A539" s="22" t="str">
        <f t="shared" ref="A539:A602" si="87">IF($E539="","","Twice Monthly")</f>
        <v/>
      </c>
      <c r="B539" s="23" t="str">
        <f>IF($E539="","",193)</f>
        <v/>
      </c>
      <c r="C539" s="24" t="str">
        <f>IF($E539="","",EDATE(Inputs!$B$9,INT(192/2))+IF(MOD(192,2)=0,0,Inputs!$B$22))</f>
        <v/>
      </c>
      <c r="D539" s="23" t="str">
        <f t="shared" si="79"/>
        <v/>
      </c>
      <c r="E539" s="25" t="str">
        <f t="shared" si="80"/>
        <v/>
      </c>
      <c r="F539" s="25" t="str">
        <f>IF($E539="","",ROUND(MIN(Comparison!$C$5,MAX(0,$E539+$H539)),2))</f>
        <v/>
      </c>
      <c r="G539" s="25" t="str">
        <f>IF($E539="","",ROUND(MIN(Inputs!$B$10,MAX(0,$E539+$H539-$F539)),2))</f>
        <v/>
      </c>
      <c r="H539" s="25" t="str">
        <f>IF($E539="","",ROUND(IF(Inputs!$B$12="Daily Simple Interest",$E539*Inputs!$B$6/Inputs!$B$17*$D539,$E539*Inputs!$B$6/Inputs!$B$19),2))</f>
        <v/>
      </c>
      <c r="I539" s="25" t="str">
        <f t="shared" si="81"/>
        <v/>
      </c>
      <c r="J539" s="25" t="str">
        <f>IF($E539="","",IF($F539+$G539&gt;0,Inputs!$B$11,0))</f>
        <v/>
      </c>
      <c r="K539" s="25" t="str">
        <f t="shared" si="82"/>
        <v/>
      </c>
      <c r="L539" s="25" t="str">
        <f t="shared" si="83"/>
        <v/>
      </c>
      <c r="M539" s="25" t="str">
        <f t="shared" si="84"/>
        <v/>
      </c>
      <c r="N539" s="84" t="str">
        <f t="shared" si="85"/>
        <v/>
      </c>
      <c r="O539" s="23" t="str">
        <f t="shared" si="86"/>
        <v/>
      </c>
    </row>
    <row r="540" spans="1:15" ht="20" customHeight="1">
      <c r="A540" s="22" t="str">
        <f t="shared" si="87"/>
        <v/>
      </c>
      <c r="B540" s="23" t="str">
        <f>IF($E540="","",194)</f>
        <v/>
      </c>
      <c r="C540" s="24" t="str">
        <f>IF($E540="","",EDATE(Inputs!$B$9,INT(193/2))+IF(MOD(193,2)=0,0,Inputs!$B$22))</f>
        <v/>
      </c>
      <c r="D540" s="23" t="str">
        <f t="shared" ref="D540:D603" si="88">IF($E540="","",$C540-$C539)</f>
        <v/>
      </c>
      <c r="E540" s="25" t="str">
        <f t="shared" ref="E540:E603" si="89">IF($K539&gt;0.005,$K539,"")</f>
        <v/>
      </c>
      <c r="F540" s="25" t="str">
        <f>IF($E540="","",ROUND(MIN(Comparison!$C$5,MAX(0,$E540+$H540)),2))</f>
        <v/>
      </c>
      <c r="G540" s="25" t="str">
        <f>IF($E540="","",ROUND(MIN(Inputs!$B$10,MAX(0,$E540+$H540-$F540)),2))</f>
        <v/>
      </c>
      <c r="H540" s="25" t="str">
        <f>IF($E540="","",ROUND(IF(Inputs!$B$12="Daily Simple Interest",$E540*Inputs!$B$6/Inputs!$B$17*$D540,$E540*Inputs!$B$6/Inputs!$B$19),2))</f>
        <v/>
      </c>
      <c r="I540" s="25" t="str">
        <f t="shared" si="81"/>
        <v/>
      </c>
      <c r="J540" s="25" t="str">
        <f>IF($E540="","",IF($F540+$G540&gt;0,Inputs!$B$11,0))</f>
        <v/>
      </c>
      <c r="K540" s="25" t="str">
        <f t="shared" si="82"/>
        <v/>
      </c>
      <c r="L540" s="25" t="str">
        <f t="shared" si="83"/>
        <v/>
      </c>
      <c r="M540" s="25" t="str">
        <f t="shared" si="84"/>
        <v/>
      </c>
      <c r="N540" s="84" t="str">
        <f t="shared" si="85"/>
        <v/>
      </c>
      <c r="O540" s="23" t="str">
        <f t="shared" si="86"/>
        <v/>
      </c>
    </row>
    <row r="541" spans="1:15" ht="20" customHeight="1">
      <c r="A541" s="22" t="str">
        <f t="shared" si="87"/>
        <v/>
      </c>
      <c r="B541" s="23" t="str">
        <f>IF($E541="","",195)</f>
        <v/>
      </c>
      <c r="C541" s="24" t="str">
        <f>IF($E541="","",EDATE(Inputs!$B$9,INT(194/2))+IF(MOD(194,2)=0,0,Inputs!$B$22))</f>
        <v/>
      </c>
      <c r="D541" s="23" t="str">
        <f t="shared" si="88"/>
        <v/>
      </c>
      <c r="E541" s="25" t="str">
        <f t="shared" si="89"/>
        <v/>
      </c>
      <c r="F541" s="25" t="str">
        <f>IF($E541="","",ROUND(MIN(Comparison!$C$5,MAX(0,$E541+$H541)),2))</f>
        <v/>
      </c>
      <c r="G541" s="25" t="str">
        <f>IF($E541="","",ROUND(MIN(Inputs!$B$10,MAX(0,$E541+$H541-$F541)),2))</f>
        <v/>
      </c>
      <c r="H541" s="25" t="str">
        <f>IF($E541="","",ROUND(IF(Inputs!$B$12="Daily Simple Interest",$E541*Inputs!$B$6/Inputs!$B$17*$D541,$E541*Inputs!$B$6/Inputs!$B$19),2))</f>
        <v/>
      </c>
      <c r="I541" s="25" t="str">
        <f t="shared" si="81"/>
        <v/>
      </c>
      <c r="J541" s="25" t="str">
        <f>IF($E541="","",IF($F541+$G541&gt;0,Inputs!$B$11,0))</f>
        <v/>
      </c>
      <c r="K541" s="25" t="str">
        <f t="shared" si="82"/>
        <v/>
      </c>
      <c r="L541" s="25" t="str">
        <f t="shared" si="83"/>
        <v/>
      </c>
      <c r="M541" s="25" t="str">
        <f t="shared" si="84"/>
        <v/>
      </c>
      <c r="N541" s="84" t="str">
        <f t="shared" si="85"/>
        <v/>
      </c>
      <c r="O541" s="23" t="str">
        <f t="shared" si="86"/>
        <v/>
      </c>
    </row>
    <row r="542" spans="1:15" ht="20" customHeight="1">
      <c r="A542" s="22" t="str">
        <f t="shared" si="87"/>
        <v/>
      </c>
      <c r="B542" s="23" t="str">
        <f>IF($E542="","",196)</f>
        <v/>
      </c>
      <c r="C542" s="24" t="str">
        <f>IF($E542="","",EDATE(Inputs!$B$9,INT(195/2))+IF(MOD(195,2)=0,0,Inputs!$B$22))</f>
        <v/>
      </c>
      <c r="D542" s="23" t="str">
        <f t="shared" si="88"/>
        <v/>
      </c>
      <c r="E542" s="25" t="str">
        <f t="shared" si="89"/>
        <v/>
      </c>
      <c r="F542" s="25" t="str">
        <f>IF($E542="","",ROUND(MIN(Comparison!$C$5,MAX(0,$E542+$H542)),2))</f>
        <v/>
      </c>
      <c r="G542" s="25" t="str">
        <f>IF($E542="","",ROUND(MIN(Inputs!$B$10,MAX(0,$E542+$H542-$F542)),2))</f>
        <v/>
      </c>
      <c r="H542" s="25" t="str">
        <f>IF($E542="","",ROUND(IF(Inputs!$B$12="Daily Simple Interest",$E542*Inputs!$B$6/Inputs!$B$17*$D542,$E542*Inputs!$B$6/Inputs!$B$19),2))</f>
        <v/>
      </c>
      <c r="I542" s="25" t="str">
        <f t="shared" si="81"/>
        <v/>
      </c>
      <c r="J542" s="25" t="str">
        <f>IF($E542="","",IF($F542+$G542&gt;0,Inputs!$B$11,0))</f>
        <v/>
      </c>
      <c r="K542" s="25" t="str">
        <f t="shared" si="82"/>
        <v/>
      </c>
      <c r="L542" s="25" t="str">
        <f t="shared" si="83"/>
        <v/>
      </c>
      <c r="M542" s="25" t="str">
        <f t="shared" si="84"/>
        <v/>
      </c>
      <c r="N542" s="84" t="str">
        <f t="shared" si="85"/>
        <v/>
      </c>
      <c r="O542" s="23" t="str">
        <f t="shared" si="86"/>
        <v/>
      </c>
    </row>
    <row r="543" spans="1:15" ht="20" customHeight="1">
      <c r="A543" s="22" t="str">
        <f t="shared" si="87"/>
        <v/>
      </c>
      <c r="B543" s="23" t="str">
        <f>IF($E543="","",197)</f>
        <v/>
      </c>
      <c r="C543" s="24" t="str">
        <f>IF($E543="","",EDATE(Inputs!$B$9,INT(196/2))+IF(MOD(196,2)=0,0,Inputs!$B$22))</f>
        <v/>
      </c>
      <c r="D543" s="23" t="str">
        <f t="shared" si="88"/>
        <v/>
      </c>
      <c r="E543" s="25" t="str">
        <f t="shared" si="89"/>
        <v/>
      </c>
      <c r="F543" s="25" t="str">
        <f>IF($E543="","",ROUND(MIN(Comparison!$C$5,MAX(0,$E543+$H543)),2))</f>
        <v/>
      </c>
      <c r="G543" s="25" t="str">
        <f>IF($E543="","",ROUND(MIN(Inputs!$B$10,MAX(0,$E543+$H543-$F543)),2))</f>
        <v/>
      </c>
      <c r="H543" s="25" t="str">
        <f>IF($E543="","",ROUND(IF(Inputs!$B$12="Daily Simple Interest",$E543*Inputs!$B$6/Inputs!$B$17*$D543,$E543*Inputs!$B$6/Inputs!$B$19),2))</f>
        <v/>
      </c>
      <c r="I543" s="25" t="str">
        <f t="shared" si="81"/>
        <v/>
      </c>
      <c r="J543" s="25" t="str">
        <f>IF($E543="","",IF($F543+$G543&gt;0,Inputs!$B$11,0))</f>
        <v/>
      </c>
      <c r="K543" s="25" t="str">
        <f t="shared" si="82"/>
        <v/>
      </c>
      <c r="L543" s="25" t="str">
        <f t="shared" si="83"/>
        <v/>
      </c>
      <c r="M543" s="25" t="str">
        <f t="shared" si="84"/>
        <v/>
      </c>
      <c r="N543" s="84" t="str">
        <f t="shared" si="85"/>
        <v/>
      </c>
      <c r="O543" s="23" t="str">
        <f t="shared" si="86"/>
        <v/>
      </c>
    </row>
    <row r="544" spans="1:15" ht="20" customHeight="1">
      <c r="A544" s="22" t="str">
        <f t="shared" si="87"/>
        <v/>
      </c>
      <c r="B544" s="23" t="str">
        <f>IF($E544="","",198)</f>
        <v/>
      </c>
      <c r="C544" s="24" t="str">
        <f>IF($E544="","",EDATE(Inputs!$B$9,INT(197/2))+IF(MOD(197,2)=0,0,Inputs!$B$22))</f>
        <v/>
      </c>
      <c r="D544" s="23" t="str">
        <f t="shared" si="88"/>
        <v/>
      </c>
      <c r="E544" s="25" t="str">
        <f t="shared" si="89"/>
        <v/>
      </c>
      <c r="F544" s="25" t="str">
        <f>IF($E544="","",ROUND(MIN(Comparison!$C$5,MAX(0,$E544+$H544)),2))</f>
        <v/>
      </c>
      <c r="G544" s="25" t="str">
        <f>IF($E544="","",ROUND(MIN(Inputs!$B$10,MAX(0,$E544+$H544-$F544)),2))</f>
        <v/>
      </c>
      <c r="H544" s="25" t="str">
        <f>IF($E544="","",ROUND(IF(Inputs!$B$12="Daily Simple Interest",$E544*Inputs!$B$6/Inputs!$B$17*$D544,$E544*Inputs!$B$6/Inputs!$B$19),2))</f>
        <v/>
      </c>
      <c r="I544" s="25" t="str">
        <f t="shared" si="81"/>
        <v/>
      </c>
      <c r="J544" s="25" t="str">
        <f>IF($E544="","",IF($F544+$G544&gt;0,Inputs!$B$11,0))</f>
        <v/>
      </c>
      <c r="K544" s="25" t="str">
        <f t="shared" si="82"/>
        <v/>
      </c>
      <c r="L544" s="25" t="str">
        <f t="shared" si="83"/>
        <v/>
      </c>
      <c r="M544" s="25" t="str">
        <f t="shared" si="84"/>
        <v/>
      </c>
      <c r="N544" s="84" t="str">
        <f t="shared" si="85"/>
        <v/>
      </c>
      <c r="O544" s="23" t="str">
        <f t="shared" si="86"/>
        <v/>
      </c>
    </row>
    <row r="545" spans="1:15" ht="20" customHeight="1">
      <c r="A545" s="22" t="str">
        <f t="shared" si="87"/>
        <v/>
      </c>
      <c r="B545" s="23" t="str">
        <f>IF($E545="","",199)</f>
        <v/>
      </c>
      <c r="C545" s="24" t="str">
        <f>IF($E545="","",EDATE(Inputs!$B$9,INT(198/2))+IF(MOD(198,2)=0,0,Inputs!$B$22))</f>
        <v/>
      </c>
      <c r="D545" s="23" t="str">
        <f t="shared" si="88"/>
        <v/>
      </c>
      <c r="E545" s="25" t="str">
        <f t="shared" si="89"/>
        <v/>
      </c>
      <c r="F545" s="25" t="str">
        <f>IF($E545="","",ROUND(MIN(Comparison!$C$5,MAX(0,$E545+$H545)),2))</f>
        <v/>
      </c>
      <c r="G545" s="25" t="str">
        <f>IF($E545="","",ROUND(MIN(Inputs!$B$10,MAX(0,$E545+$H545-$F545)),2))</f>
        <v/>
      </c>
      <c r="H545" s="25" t="str">
        <f>IF($E545="","",ROUND(IF(Inputs!$B$12="Daily Simple Interest",$E545*Inputs!$B$6/Inputs!$B$17*$D545,$E545*Inputs!$B$6/Inputs!$B$19),2))</f>
        <v/>
      </c>
      <c r="I545" s="25" t="str">
        <f t="shared" si="81"/>
        <v/>
      </c>
      <c r="J545" s="25" t="str">
        <f>IF($E545="","",IF($F545+$G545&gt;0,Inputs!$B$11,0))</f>
        <v/>
      </c>
      <c r="K545" s="25" t="str">
        <f t="shared" si="82"/>
        <v/>
      </c>
      <c r="L545" s="25" t="str">
        <f t="shared" si="83"/>
        <v/>
      </c>
      <c r="M545" s="25" t="str">
        <f t="shared" si="84"/>
        <v/>
      </c>
      <c r="N545" s="84" t="str">
        <f t="shared" si="85"/>
        <v/>
      </c>
      <c r="O545" s="23" t="str">
        <f t="shared" si="86"/>
        <v/>
      </c>
    </row>
    <row r="546" spans="1:15" ht="20" customHeight="1">
      <c r="A546" s="22" t="str">
        <f t="shared" si="87"/>
        <v/>
      </c>
      <c r="B546" s="23" t="str">
        <f>IF($E546="","",200)</f>
        <v/>
      </c>
      <c r="C546" s="24" t="str">
        <f>IF($E546="","",EDATE(Inputs!$B$9,INT(199/2))+IF(MOD(199,2)=0,0,Inputs!$B$22))</f>
        <v/>
      </c>
      <c r="D546" s="23" t="str">
        <f t="shared" si="88"/>
        <v/>
      </c>
      <c r="E546" s="25" t="str">
        <f t="shared" si="89"/>
        <v/>
      </c>
      <c r="F546" s="25" t="str">
        <f>IF($E546="","",ROUND(MIN(Comparison!$C$5,MAX(0,$E546+$H546)),2))</f>
        <v/>
      </c>
      <c r="G546" s="25" t="str">
        <f>IF($E546="","",ROUND(MIN(Inputs!$B$10,MAX(0,$E546+$H546-$F546)),2))</f>
        <v/>
      </c>
      <c r="H546" s="25" t="str">
        <f>IF($E546="","",ROUND(IF(Inputs!$B$12="Daily Simple Interest",$E546*Inputs!$B$6/Inputs!$B$17*$D546,$E546*Inputs!$B$6/Inputs!$B$19),2))</f>
        <v/>
      </c>
      <c r="I546" s="25" t="str">
        <f t="shared" si="81"/>
        <v/>
      </c>
      <c r="J546" s="25" t="str">
        <f>IF($E546="","",IF($F546+$G546&gt;0,Inputs!$B$11,0))</f>
        <v/>
      </c>
      <c r="K546" s="25" t="str">
        <f t="shared" si="82"/>
        <v/>
      </c>
      <c r="L546" s="25" t="str">
        <f t="shared" si="83"/>
        <v/>
      </c>
      <c r="M546" s="25" t="str">
        <f t="shared" si="84"/>
        <v/>
      </c>
      <c r="N546" s="84" t="str">
        <f t="shared" si="85"/>
        <v/>
      </c>
      <c r="O546" s="23" t="str">
        <f t="shared" si="86"/>
        <v/>
      </c>
    </row>
    <row r="547" spans="1:15" ht="20" customHeight="1">
      <c r="A547" s="22" t="str">
        <f t="shared" si="87"/>
        <v/>
      </c>
      <c r="B547" s="23" t="str">
        <f>IF($E547="","",201)</f>
        <v/>
      </c>
      <c r="C547" s="24" t="str">
        <f>IF($E547="","",EDATE(Inputs!$B$9,INT(200/2))+IF(MOD(200,2)=0,0,Inputs!$B$22))</f>
        <v/>
      </c>
      <c r="D547" s="23" t="str">
        <f t="shared" si="88"/>
        <v/>
      </c>
      <c r="E547" s="25" t="str">
        <f t="shared" si="89"/>
        <v/>
      </c>
      <c r="F547" s="25" t="str">
        <f>IF($E547="","",ROUND(MIN(Comparison!$C$5,MAX(0,$E547+$H547)),2))</f>
        <v/>
      </c>
      <c r="G547" s="25" t="str">
        <f>IF($E547="","",ROUND(MIN(Inputs!$B$10,MAX(0,$E547+$H547-$F547)),2))</f>
        <v/>
      </c>
      <c r="H547" s="25" t="str">
        <f>IF($E547="","",ROUND(IF(Inputs!$B$12="Daily Simple Interest",$E547*Inputs!$B$6/Inputs!$B$17*$D547,$E547*Inputs!$B$6/Inputs!$B$19),2))</f>
        <v/>
      </c>
      <c r="I547" s="25" t="str">
        <f t="shared" si="81"/>
        <v/>
      </c>
      <c r="J547" s="25" t="str">
        <f>IF($E547="","",IF($F547+$G547&gt;0,Inputs!$B$11,0))</f>
        <v/>
      </c>
      <c r="K547" s="25" t="str">
        <f t="shared" si="82"/>
        <v/>
      </c>
      <c r="L547" s="25" t="str">
        <f t="shared" si="83"/>
        <v/>
      </c>
      <c r="M547" s="25" t="str">
        <f t="shared" si="84"/>
        <v/>
      </c>
      <c r="N547" s="84" t="str">
        <f t="shared" si="85"/>
        <v/>
      </c>
      <c r="O547" s="23" t="str">
        <f t="shared" si="86"/>
        <v/>
      </c>
    </row>
    <row r="548" spans="1:15" ht="20" customHeight="1">
      <c r="A548" s="22" t="str">
        <f t="shared" si="87"/>
        <v/>
      </c>
      <c r="B548" s="23" t="str">
        <f>IF($E548="","",202)</f>
        <v/>
      </c>
      <c r="C548" s="24" t="str">
        <f>IF($E548="","",EDATE(Inputs!$B$9,INT(201/2))+IF(MOD(201,2)=0,0,Inputs!$B$22))</f>
        <v/>
      </c>
      <c r="D548" s="23" t="str">
        <f t="shared" si="88"/>
        <v/>
      </c>
      <c r="E548" s="25" t="str">
        <f t="shared" si="89"/>
        <v/>
      </c>
      <c r="F548" s="25" t="str">
        <f>IF($E548="","",ROUND(MIN(Comparison!$C$5,MAX(0,$E548+$H548)),2))</f>
        <v/>
      </c>
      <c r="G548" s="25" t="str">
        <f>IF($E548="","",ROUND(MIN(Inputs!$B$10,MAX(0,$E548+$H548-$F548)),2))</f>
        <v/>
      </c>
      <c r="H548" s="25" t="str">
        <f>IF($E548="","",ROUND(IF(Inputs!$B$12="Daily Simple Interest",$E548*Inputs!$B$6/Inputs!$B$17*$D548,$E548*Inputs!$B$6/Inputs!$B$19),2))</f>
        <v/>
      </c>
      <c r="I548" s="25" t="str">
        <f t="shared" si="81"/>
        <v/>
      </c>
      <c r="J548" s="25" t="str">
        <f>IF($E548="","",IF($F548+$G548&gt;0,Inputs!$B$11,0))</f>
        <v/>
      </c>
      <c r="K548" s="25" t="str">
        <f t="shared" si="82"/>
        <v/>
      </c>
      <c r="L548" s="25" t="str">
        <f t="shared" si="83"/>
        <v/>
      </c>
      <c r="M548" s="25" t="str">
        <f t="shared" si="84"/>
        <v/>
      </c>
      <c r="N548" s="84" t="str">
        <f t="shared" si="85"/>
        <v/>
      </c>
      <c r="O548" s="23" t="str">
        <f t="shared" si="86"/>
        <v/>
      </c>
    </row>
    <row r="549" spans="1:15" ht="20" customHeight="1">
      <c r="A549" s="22" t="str">
        <f t="shared" si="87"/>
        <v/>
      </c>
      <c r="B549" s="23" t="str">
        <f>IF($E549="","",203)</f>
        <v/>
      </c>
      <c r="C549" s="24" t="str">
        <f>IF($E549="","",EDATE(Inputs!$B$9,INT(202/2))+IF(MOD(202,2)=0,0,Inputs!$B$22))</f>
        <v/>
      </c>
      <c r="D549" s="23" t="str">
        <f t="shared" si="88"/>
        <v/>
      </c>
      <c r="E549" s="25" t="str">
        <f t="shared" si="89"/>
        <v/>
      </c>
      <c r="F549" s="25" t="str">
        <f>IF($E549="","",ROUND(MIN(Comparison!$C$5,MAX(0,$E549+$H549)),2))</f>
        <v/>
      </c>
      <c r="G549" s="25" t="str">
        <f>IF($E549="","",ROUND(MIN(Inputs!$B$10,MAX(0,$E549+$H549-$F549)),2))</f>
        <v/>
      </c>
      <c r="H549" s="25" t="str">
        <f>IF($E549="","",ROUND(IF(Inputs!$B$12="Daily Simple Interest",$E549*Inputs!$B$6/Inputs!$B$17*$D549,$E549*Inputs!$B$6/Inputs!$B$19),2))</f>
        <v/>
      </c>
      <c r="I549" s="25" t="str">
        <f t="shared" si="81"/>
        <v/>
      </c>
      <c r="J549" s="25" t="str">
        <f>IF($E549="","",IF($F549+$G549&gt;0,Inputs!$B$11,0))</f>
        <v/>
      </c>
      <c r="K549" s="25" t="str">
        <f t="shared" si="82"/>
        <v/>
      </c>
      <c r="L549" s="25" t="str">
        <f t="shared" si="83"/>
        <v/>
      </c>
      <c r="M549" s="25" t="str">
        <f t="shared" si="84"/>
        <v/>
      </c>
      <c r="N549" s="84" t="str">
        <f t="shared" si="85"/>
        <v/>
      </c>
      <c r="O549" s="23" t="str">
        <f t="shared" si="86"/>
        <v/>
      </c>
    </row>
    <row r="550" spans="1:15" ht="20" customHeight="1">
      <c r="A550" s="22" t="str">
        <f t="shared" si="87"/>
        <v/>
      </c>
      <c r="B550" s="23" t="str">
        <f>IF($E550="","",204)</f>
        <v/>
      </c>
      <c r="C550" s="24" t="str">
        <f>IF($E550="","",EDATE(Inputs!$B$9,INT(203/2))+IF(MOD(203,2)=0,0,Inputs!$B$22))</f>
        <v/>
      </c>
      <c r="D550" s="23" t="str">
        <f t="shared" si="88"/>
        <v/>
      </c>
      <c r="E550" s="25" t="str">
        <f t="shared" si="89"/>
        <v/>
      </c>
      <c r="F550" s="25" t="str">
        <f>IF($E550="","",ROUND(MIN(Comparison!$C$5,MAX(0,$E550+$H550)),2))</f>
        <v/>
      </c>
      <c r="G550" s="25" t="str">
        <f>IF($E550="","",ROUND(MIN(Inputs!$B$10,MAX(0,$E550+$H550-$F550)),2))</f>
        <v/>
      </c>
      <c r="H550" s="25" t="str">
        <f>IF($E550="","",ROUND(IF(Inputs!$B$12="Daily Simple Interest",$E550*Inputs!$B$6/Inputs!$B$17*$D550,$E550*Inputs!$B$6/Inputs!$B$19),2))</f>
        <v/>
      </c>
      <c r="I550" s="25" t="str">
        <f t="shared" si="81"/>
        <v/>
      </c>
      <c r="J550" s="25" t="str">
        <f>IF($E550="","",IF($F550+$G550&gt;0,Inputs!$B$11,0))</f>
        <v/>
      </c>
      <c r="K550" s="25" t="str">
        <f t="shared" si="82"/>
        <v/>
      </c>
      <c r="L550" s="25" t="str">
        <f t="shared" si="83"/>
        <v/>
      </c>
      <c r="M550" s="25" t="str">
        <f t="shared" si="84"/>
        <v/>
      </c>
      <c r="N550" s="84" t="str">
        <f t="shared" si="85"/>
        <v/>
      </c>
      <c r="O550" s="23" t="str">
        <f t="shared" si="86"/>
        <v/>
      </c>
    </row>
    <row r="551" spans="1:15" ht="20" customHeight="1">
      <c r="A551" s="22" t="str">
        <f t="shared" si="87"/>
        <v/>
      </c>
      <c r="B551" s="23" t="str">
        <f>IF($E551="","",205)</f>
        <v/>
      </c>
      <c r="C551" s="24" t="str">
        <f>IF($E551="","",EDATE(Inputs!$B$9,INT(204/2))+IF(MOD(204,2)=0,0,Inputs!$B$22))</f>
        <v/>
      </c>
      <c r="D551" s="23" t="str">
        <f t="shared" si="88"/>
        <v/>
      </c>
      <c r="E551" s="25" t="str">
        <f t="shared" si="89"/>
        <v/>
      </c>
      <c r="F551" s="25" t="str">
        <f>IF($E551="","",ROUND(MIN(Comparison!$C$5,MAX(0,$E551+$H551)),2))</f>
        <v/>
      </c>
      <c r="G551" s="25" t="str">
        <f>IF($E551="","",ROUND(MIN(Inputs!$B$10,MAX(0,$E551+$H551-$F551)),2))</f>
        <v/>
      </c>
      <c r="H551" s="25" t="str">
        <f>IF($E551="","",ROUND(IF(Inputs!$B$12="Daily Simple Interest",$E551*Inputs!$B$6/Inputs!$B$17*$D551,$E551*Inputs!$B$6/Inputs!$B$19),2))</f>
        <v/>
      </c>
      <c r="I551" s="25" t="str">
        <f t="shared" si="81"/>
        <v/>
      </c>
      <c r="J551" s="25" t="str">
        <f>IF($E551="","",IF($F551+$G551&gt;0,Inputs!$B$11,0))</f>
        <v/>
      </c>
      <c r="K551" s="25" t="str">
        <f t="shared" si="82"/>
        <v/>
      </c>
      <c r="L551" s="25" t="str">
        <f t="shared" si="83"/>
        <v/>
      </c>
      <c r="M551" s="25" t="str">
        <f t="shared" si="84"/>
        <v/>
      </c>
      <c r="N551" s="84" t="str">
        <f t="shared" si="85"/>
        <v/>
      </c>
      <c r="O551" s="23" t="str">
        <f t="shared" si="86"/>
        <v/>
      </c>
    </row>
    <row r="552" spans="1:15" ht="20" customHeight="1">
      <c r="A552" s="22" t="str">
        <f t="shared" si="87"/>
        <v/>
      </c>
      <c r="B552" s="23" t="str">
        <f>IF($E552="","",206)</f>
        <v/>
      </c>
      <c r="C552" s="24" t="str">
        <f>IF($E552="","",EDATE(Inputs!$B$9,INT(205/2))+IF(MOD(205,2)=0,0,Inputs!$B$22))</f>
        <v/>
      </c>
      <c r="D552" s="23" t="str">
        <f t="shared" si="88"/>
        <v/>
      </c>
      <c r="E552" s="25" t="str">
        <f t="shared" si="89"/>
        <v/>
      </c>
      <c r="F552" s="25" t="str">
        <f>IF($E552="","",ROUND(MIN(Comparison!$C$5,MAX(0,$E552+$H552)),2))</f>
        <v/>
      </c>
      <c r="G552" s="25" t="str">
        <f>IF($E552="","",ROUND(MIN(Inputs!$B$10,MAX(0,$E552+$H552-$F552)),2))</f>
        <v/>
      </c>
      <c r="H552" s="25" t="str">
        <f>IF($E552="","",ROUND(IF(Inputs!$B$12="Daily Simple Interest",$E552*Inputs!$B$6/Inputs!$B$17*$D552,$E552*Inputs!$B$6/Inputs!$B$19),2))</f>
        <v/>
      </c>
      <c r="I552" s="25" t="str">
        <f t="shared" si="81"/>
        <v/>
      </c>
      <c r="J552" s="25" t="str">
        <f>IF($E552="","",IF($F552+$G552&gt;0,Inputs!$B$11,0))</f>
        <v/>
      </c>
      <c r="K552" s="25" t="str">
        <f t="shared" si="82"/>
        <v/>
      </c>
      <c r="L552" s="25" t="str">
        <f t="shared" si="83"/>
        <v/>
      </c>
      <c r="M552" s="25" t="str">
        <f t="shared" si="84"/>
        <v/>
      </c>
      <c r="N552" s="84" t="str">
        <f t="shared" si="85"/>
        <v/>
      </c>
      <c r="O552" s="23" t="str">
        <f t="shared" si="86"/>
        <v/>
      </c>
    </row>
    <row r="553" spans="1:15" ht="20" customHeight="1">
      <c r="A553" s="22" t="str">
        <f t="shared" si="87"/>
        <v/>
      </c>
      <c r="B553" s="23" t="str">
        <f>IF($E553="","",207)</f>
        <v/>
      </c>
      <c r="C553" s="24" t="str">
        <f>IF($E553="","",EDATE(Inputs!$B$9,INT(206/2))+IF(MOD(206,2)=0,0,Inputs!$B$22))</f>
        <v/>
      </c>
      <c r="D553" s="23" t="str">
        <f t="shared" si="88"/>
        <v/>
      </c>
      <c r="E553" s="25" t="str">
        <f t="shared" si="89"/>
        <v/>
      </c>
      <c r="F553" s="25" t="str">
        <f>IF($E553="","",ROUND(MIN(Comparison!$C$5,MAX(0,$E553+$H553)),2))</f>
        <v/>
      </c>
      <c r="G553" s="25" t="str">
        <f>IF($E553="","",ROUND(MIN(Inputs!$B$10,MAX(0,$E553+$H553-$F553)),2))</f>
        <v/>
      </c>
      <c r="H553" s="25" t="str">
        <f>IF($E553="","",ROUND(IF(Inputs!$B$12="Daily Simple Interest",$E553*Inputs!$B$6/Inputs!$B$17*$D553,$E553*Inputs!$B$6/Inputs!$B$19),2))</f>
        <v/>
      </c>
      <c r="I553" s="25" t="str">
        <f t="shared" si="81"/>
        <v/>
      </c>
      <c r="J553" s="25" t="str">
        <f>IF($E553="","",IF($F553+$G553&gt;0,Inputs!$B$11,0))</f>
        <v/>
      </c>
      <c r="K553" s="25" t="str">
        <f t="shared" si="82"/>
        <v/>
      </c>
      <c r="L553" s="25" t="str">
        <f t="shared" si="83"/>
        <v/>
      </c>
      <c r="M553" s="25" t="str">
        <f t="shared" si="84"/>
        <v/>
      </c>
      <c r="N553" s="84" t="str">
        <f t="shared" si="85"/>
        <v/>
      </c>
      <c r="O553" s="23" t="str">
        <f t="shared" si="86"/>
        <v/>
      </c>
    </row>
    <row r="554" spans="1:15" ht="20" customHeight="1">
      <c r="A554" s="22" t="str">
        <f t="shared" si="87"/>
        <v/>
      </c>
      <c r="B554" s="23" t="str">
        <f>IF($E554="","",208)</f>
        <v/>
      </c>
      <c r="C554" s="24" t="str">
        <f>IF($E554="","",EDATE(Inputs!$B$9,INT(207/2))+IF(MOD(207,2)=0,0,Inputs!$B$22))</f>
        <v/>
      </c>
      <c r="D554" s="23" t="str">
        <f t="shared" si="88"/>
        <v/>
      </c>
      <c r="E554" s="25" t="str">
        <f t="shared" si="89"/>
        <v/>
      </c>
      <c r="F554" s="25" t="str">
        <f>IF($E554="","",ROUND(MIN(Comparison!$C$5,MAX(0,$E554+$H554)),2))</f>
        <v/>
      </c>
      <c r="G554" s="25" t="str">
        <f>IF($E554="","",ROUND(MIN(Inputs!$B$10,MAX(0,$E554+$H554-$F554)),2))</f>
        <v/>
      </c>
      <c r="H554" s="25" t="str">
        <f>IF($E554="","",ROUND(IF(Inputs!$B$12="Daily Simple Interest",$E554*Inputs!$B$6/Inputs!$B$17*$D554,$E554*Inputs!$B$6/Inputs!$B$19),2))</f>
        <v/>
      </c>
      <c r="I554" s="25" t="str">
        <f t="shared" si="81"/>
        <v/>
      </c>
      <c r="J554" s="25" t="str">
        <f>IF($E554="","",IF($F554+$G554&gt;0,Inputs!$B$11,0))</f>
        <v/>
      </c>
      <c r="K554" s="25" t="str">
        <f t="shared" si="82"/>
        <v/>
      </c>
      <c r="L554" s="25" t="str">
        <f t="shared" si="83"/>
        <v/>
      </c>
      <c r="M554" s="25" t="str">
        <f t="shared" si="84"/>
        <v/>
      </c>
      <c r="N554" s="84" t="str">
        <f t="shared" si="85"/>
        <v/>
      </c>
      <c r="O554" s="23" t="str">
        <f t="shared" si="86"/>
        <v/>
      </c>
    </row>
    <row r="555" spans="1:15" ht="20" customHeight="1">
      <c r="A555" s="22" t="str">
        <f t="shared" si="87"/>
        <v/>
      </c>
      <c r="B555" s="23" t="str">
        <f>IF($E555="","",209)</f>
        <v/>
      </c>
      <c r="C555" s="24" t="str">
        <f>IF($E555="","",EDATE(Inputs!$B$9,INT(208/2))+IF(MOD(208,2)=0,0,Inputs!$B$22))</f>
        <v/>
      </c>
      <c r="D555" s="23" t="str">
        <f t="shared" si="88"/>
        <v/>
      </c>
      <c r="E555" s="25" t="str">
        <f t="shared" si="89"/>
        <v/>
      </c>
      <c r="F555" s="25" t="str">
        <f>IF($E555="","",ROUND(MIN(Comparison!$C$5,MAX(0,$E555+$H555)),2))</f>
        <v/>
      </c>
      <c r="G555" s="25" t="str">
        <f>IF($E555="","",ROUND(MIN(Inputs!$B$10,MAX(0,$E555+$H555-$F555)),2))</f>
        <v/>
      </c>
      <c r="H555" s="25" t="str">
        <f>IF($E555="","",ROUND(IF(Inputs!$B$12="Daily Simple Interest",$E555*Inputs!$B$6/Inputs!$B$17*$D555,$E555*Inputs!$B$6/Inputs!$B$19),2))</f>
        <v/>
      </c>
      <c r="I555" s="25" t="str">
        <f t="shared" si="81"/>
        <v/>
      </c>
      <c r="J555" s="25" t="str">
        <f>IF($E555="","",IF($F555+$G555&gt;0,Inputs!$B$11,0))</f>
        <v/>
      </c>
      <c r="K555" s="25" t="str">
        <f t="shared" si="82"/>
        <v/>
      </c>
      <c r="L555" s="25" t="str">
        <f t="shared" si="83"/>
        <v/>
      </c>
      <c r="M555" s="25" t="str">
        <f t="shared" si="84"/>
        <v/>
      </c>
      <c r="N555" s="84" t="str">
        <f t="shared" si="85"/>
        <v/>
      </c>
      <c r="O555" s="23" t="str">
        <f t="shared" si="86"/>
        <v/>
      </c>
    </row>
    <row r="556" spans="1:15" ht="20" customHeight="1">
      <c r="A556" s="22" t="str">
        <f t="shared" si="87"/>
        <v/>
      </c>
      <c r="B556" s="23" t="str">
        <f>IF($E556="","",210)</f>
        <v/>
      </c>
      <c r="C556" s="24" t="str">
        <f>IF($E556="","",EDATE(Inputs!$B$9,INT(209/2))+IF(MOD(209,2)=0,0,Inputs!$B$22))</f>
        <v/>
      </c>
      <c r="D556" s="23" t="str">
        <f t="shared" si="88"/>
        <v/>
      </c>
      <c r="E556" s="25" t="str">
        <f t="shared" si="89"/>
        <v/>
      </c>
      <c r="F556" s="25" t="str">
        <f>IF($E556="","",ROUND(MIN(Comparison!$C$5,MAX(0,$E556+$H556)),2))</f>
        <v/>
      </c>
      <c r="G556" s="25" t="str">
        <f>IF($E556="","",ROUND(MIN(Inputs!$B$10,MAX(0,$E556+$H556-$F556)),2))</f>
        <v/>
      </c>
      <c r="H556" s="25" t="str">
        <f>IF($E556="","",ROUND(IF(Inputs!$B$12="Daily Simple Interest",$E556*Inputs!$B$6/Inputs!$B$17*$D556,$E556*Inputs!$B$6/Inputs!$B$19),2))</f>
        <v/>
      </c>
      <c r="I556" s="25" t="str">
        <f t="shared" si="81"/>
        <v/>
      </c>
      <c r="J556" s="25" t="str">
        <f>IF($E556="","",IF($F556+$G556&gt;0,Inputs!$B$11,0))</f>
        <v/>
      </c>
      <c r="K556" s="25" t="str">
        <f t="shared" si="82"/>
        <v/>
      </c>
      <c r="L556" s="25" t="str">
        <f t="shared" si="83"/>
        <v/>
      </c>
      <c r="M556" s="25" t="str">
        <f t="shared" si="84"/>
        <v/>
      </c>
      <c r="N556" s="84" t="str">
        <f t="shared" si="85"/>
        <v/>
      </c>
      <c r="O556" s="23" t="str">
        <f t="shared" si="86"/>
        <v/>
      </c>
    </row>
    <row r="557" spans="1:15" ht="20" customHeight="1">
      <c r="A557" s="22" t="str">
        <f t="shared" si="87"/>
        <v/>
      </c>
      <c r="B557" s="23" t="str">
        <f>IF($E557="","",211)</f>
        <v/>
      </c>
      <c r="C557" s="24" t="str">
        <f>IF($E557="","",EDATE(Inputs!$B$9,INT(210/2))+IF(MOD(210,2)=0,0,Inputs!$B$22))</f>
        <v/>
      </c>
      <c r="D557" s="23" t="str">
        <f t="shared" si="88"/>
        <v/>
      </c>
      <c r="E557" s="25" t="str">
        <f t="shared" si="89"/>
        <v/>
      </c>
      <c r="F557" s="25" t="str">
        <f>IF($E557="","",ROUND(MIN(Comparison!$C$5,MAX(0,$E557+$H557)),2))</f>
        <v/>
      </c>
      <c r="G557" s="25" t="str">
        <f>IF($E557="","",ROUND(MIN(Inputs!$B$10,MAX(0,$E557+$H557-$F557)),2))</f>
        <v/>
      </c>
      <c r="H557" s="25" t="str">
        <f>IF($E557="","",ROUND(IF(Inputs!$B$12="Daily Simple Interest",$E557*Inputs!$B$6/Inputs!$B$17*$D557,$E557*Inputs!$B$6/Inputs!$B$19),2))</f>
        <v/>
      </c>
      <c r="I557" s="25" t="str">
        <f t="shared" si="81"/>
        <v/>
      </c>
      <c r="J557" s="25" t="str">
        <f>IF($E557="","",IF($F557+$G557&gt;0,Inputs!$B$11,0))</f>
        <v/>
      </c>
      <c r="K557" s="25" t="str">
        <f t="shared" si="82"/>
        <v/>
      </c>
      <c r="L557" s="25" t="str">
        <f t="shared" si="83"/>
        <v/>
      </c>
      <c r="M557" s="25" t="str">
        <f t="shared" si="84"/>
        <v/>
      </c>
      <c r="N557" s="84" t="str">
        <f t="shared" si="85"/>
        <v/>
      </c>
      <c r="O557" s="23" t="str">
        <f t="shared" si="86"/>
        <v/>
      </c>
    </row>
    <row r="558" spans="1:15" ht="20" customHeight="1">
      <c r="A558" s="22" t="str">
        <f t="shared" si="87"/>
        <v/>
      </c>
      <c r="B558" s="23" t="str">
        <f>IF($E558="","",212)</f>
        <v/>
      </c>
      <c r="C558" s="24" t="str">
        <f>IF($E558="","",EDATE(Inputs!$B$9,INT(211/2))+IF(MOD(211,2)=0,0,Inputs!$B$22))</f>
        <v/>
      </c>
      <c r="D558" s="23" t="str">
        <f t="shared" si="88"/>
        <v/>
      </c>
      <c r="E558" s="25" t="str">
        <f t="shared" si="89"/>
        <v/>
      </c>
      <c r="F558" s="25" t="str">
        <f>IF($E558="","",ROUND(MIN(Comparison!$C$5,MAX(0,$E558+$H558)),2))</f>
        <v/>
      </c>
      <c r="G558" s="25" t="str">
        <f>IF($E558="","",ROUND(MIN(Inputs!$B$10,MAX(0,$E558+$H558-$F558)),2))</f>
        <v/>
      </c>
      <c r="H558" s="25" t="str">
        <f>IF($E558="","",ROUND(IF(Inputs!$B$12="Daily Simple Interest",$E558*Inputs!$B$6/Inputs!$B$17*$D558,$E558*Inputs!$B$6/Inputs!$B$19),2))</f>
        <v/>
      </c>
      <c r="I558" s="25" t="str">
        <f t="shared" si="81"/>
        <v/>
      </c>
      <c r="J558" s="25" t="str">
        <f>IF($E558="","",IF($F558+$G558&gt;0,Inputs!$B$11,0))</f>
        <v/>
      </c>
      <c r="K558" s="25" t="str">
        <f t="shared" si="82"/>
        <v/>
      </c>
      <c r="L558" s="25" t="str">
        <f t="shared" si="83"/>
        <v/>
      </c>
      <c r="M558" s="25" t="str">
        <f t="shared" si="84"/>
        <v/>
      </c>
      <c r="N558" s="84" t="str">
        <f t="shared" si="85"/>
        <v/>
      </c>
      <c r="O558" s="23" t="str">
        <f t="shared" si="86"/>
        <v/>
      </c>
    </row>
    <row r="559" spans="1:15" ht="20" customHeight="1">
      <c r="A559" s="22" t="str">
        <f t="shared" si="87"/>
        <v/>
      </c>
      <c r="B559" s="23" t="str">
        <f>IF($E559="","",213)</f>
        <v/>
      </c>
      <c r="C559" s="24" t="str">
        <f>IF($E559="","",EDATE(Inputs!$B$9,INT(212/2))+IF(MOD(212,2)=0,0,Inputs!$B$22))</f>
        <v/>
      </c>
      <c r="D559" s="23" t="str">
        <f t="shared" si="88"/>
        <v/>
      </c>
      <c r="E559" s="25" t="str">
        <f t="shared" si="89"/>
        <v/>
      </c>
      <c r="F559" s="25" t="str">
        <f>IF($E559="","",ROUND(MIN(Comparison!$C$5,MAX(0,$E559+$H559)),2))</f>
        <v/>
      </c>
      <c r="G559" s="25" t="str">
        <f>IF($E559="","",ROUND(MIN(Inputs!$B$10,MAX(0,$E559+$H559-$F559)),2))</f>
        <v/>
      </c>
      <c r="H559" s="25" t="str">
        <f>IF($E559="","",ROUND(IF(Inputs!$B$12="Daily Simple Interest",$E559*Inputs!$B$6/Inputs!$B$17*$D559,$E559*Inputs!$B$6/Inputs!$B$19),2))</f>
        <v/>
      </c>
      <c r="I559" s="25" t="str">
        <f t="shared" si="81"/>
        <v/>
      </c>
      <c r="J559" s="25" t="str">
        <f>IF($E559="","",IF($F559+$G559&gt;0,Inputs!$B$11,0))</f>
        <v/>
      </c>
      <c r="K559" s="25" t="str">
        <f t="shared" si="82"/>
        <v/>
      </c>
      <c r="L559" s="25" t="str">
        <f t="shared" si="83"/>
        <v/>
      </c>
      <c r="M559" s="25" t="str">
        <f t="shared" si="84"/>
        <v/>
      </c>
      <c r="N559" s="84" t="str">
        <f t="shared" si="85"/>
        <v/>
      </c>
      <c r="O559" s="23" t="str">
        <f t="shared" si="86"/>
        <v/>
      </c>
    </row>
    <row r="560" spans="1:15" ht="20" customHeight="1">
      <c r="A560" s="22" t="str">
        <f t="shared" si="87"/>
        <v/>
      </c>
      <c r="B560" s="23" t="str">
        <f>IF($E560="","",214)</f>
        <v/>
      </c>
      <c r="C560" s="24" t="str">
        <f>IF($E560="","",EDATE(Inputs!$B$9,INT(213/2))+IF(MOD(213,2)=0,0,Inputs!$B$22))</f>
        <v/>
      </c>
      <c r="D560" s="23" t="str">
        <f t="shared" si="88"/>
        <v/>
      </c>
      <c r="E560" s="25" t="str">
        <f t="shared" si="89"/>
        <v/>
      </c>
      <c r="F560" s="25" t="str">
        <f>IF($E560="","",ROUND(MIN(Comparison!$C$5,MAX(0,$E560+$H560)),2))</f>
        <v/>
      </c>
      <c r="G560" s="25" t="str">
        <f>IF($E560="","",ROUND(MIN(Inputs!$B$10,MAX(0,$E560+$H560-$F560)),2))</f>
        <v/>
      </c>
      <c r="H560" s="25" t="str">
        <f>IF($E560="","",ROUND(IF(Inputs!$B$12="Daily Simple Interest",$E560*Inputs!$B$6/Inputs!$B$17*$D560,$E560*Inputs!$B$6/Inputs!$B$19),2))</f>
        <v/>
      </c>
      <c r="I560" s="25" t="str">
        <f t="shared" si="81"/>
        <v/>
      </c>
      <c r="J560" s="25" t="str">
        <f>IF($E560="","",IF($F560+$G560&gt;0,Inputs!$B$11,0))</f>
        <v/>
      </c>
      <c r="K560" s="25" t="str">
        <f t="shared" si="82"/>
        <v/>
      </c>
      <c r="L560" s="25" t="str">
        <f t="shared" si="83"/>
        <v/>
      </c>
      <c r="M560" s="25" t="str">
        <f t="shared" si="84"/>
        <v/>
      </c>
      <c r="N560" s="84" t="str">
        <f t="shared" si="85"/>
        <v/>
      </c>
      <c r="O560" s="23" t="str">
        <f t="shared" si="86"/>
        <v/>
      </c>
    </row>
    <row r="561" spans="1:15" ht="20" customHeight="1">
      <c r="A561" s="22" t="str">
        <f t="shared" si="87"/>
        <v/>
      </c>
      <c r="B561" s="23" t="str">
        <f>IF($E561="","",215)</f>
        <v/>
      </c>
      <c r="C561" s="24" t="str">
        <f>IF($E561="","",EDATE(Inputs!$B$9,INT(214/2))+IF(MOD(214,2)=0,0,Inputs!$B$22))</f>
        <v/>
      </c>
      <c r="D561" s="23" t="str">
        <f t="shared" si="88"/>
        <v/>
      </c>
      <c r="E561" s="25" t="str">
        <f t="shared" si="89"/>
        <v/>
      </c>
      <c r="F561" s="25" t="str">
        <f>IF($E561="","",ROUND(MIN(Comparison!$C$5,MAX(0,$E561+$H561)),2))</f>
        <v/>
      </c>
      <c r="G561" s="25" t="str">
        <f>IF($E561="","",ROUND(MIN(Inputs!$B$10,MAX(0,$E561+$H561-$F561)),2))</f>
        <v/>
      </c>
      <c r="H561" s="25" t="str">
        <f>IF($E561="","",ROUND(IF(Inputs!$B$12="Daily Simple Interest",$E561*Inputs!$B$6/Inputs!$B$17*$D561,$E561*Inputs!$B$6/Inputs!$B$19),2))</f>
        <v/>
      </c>
      <c r="I561" s="25" t="str">
        <f t="shared" si="81"/>
        <v/>
      </c>
      <c r="J561" s="25" t="str">
        <f>IF($E561="","",IF($F561+$G561&gt;0,Inputs!$B$11,0))</f>
        <v/>
      </c>
      <c r="K561" s="25" t="str">
        <f t="shared" si="82"/>
        <v/>
      </c>
      <c r="L561" s="25" t="str">
        <f t="shared" si="83"/>
        <v/>
      </c>
      <c r="M561" s="25" t="str">
        <f t="shared" si="84"/>
        <v/>
      </c>
      <c r="N561" s="84" t="str">
        <f t="shared" si="85"/>
        <v/>
      </c>
      <c r="O561" s="23" t="str">
        <f t="shared" si="86"/>
        <v/>
      </c>
    </row>
    <row r="562" spans="1:15" ht="20" customHeight="1">
      <c r="A562" s="22" t="str">
        <f t="shared" si="87"/>
        <v/>
      </c>
      <c r="B562" s="23" t="str">
        <f>IF($E562="","",216)</f>
        <v/>
      </c>
      <c r="C562" s="24" t="str">
        <f>IF($E562="","",EDATE(Inputs!$B$9,INT(215/2))+IF(MOD(215,2)=0,0,Inputs!$B$22))</f>
        <v/>
      </c>
      <c r="D562" s="23" t="str">
        <f t="shared" si="88"/>
        <v/>
      </c>
      <c r="E562" s="25" t="str">
        <f t="shared" si="89"/>
        <v/>
      </c>
      <c r="F562" s="25" t="str">
        <f>IF($E562="","",ROUND(MIN(Comparison!$C$5,MAX(0,$E562+$H562)),2))</f>
        <v/>
      </c>
      <c r="G562" s="25" t="str">
        <f>IF($E562="","",ROUND(MIN(Inputs!$B$10,MAX(0,$E562+$H562-$F562)),2))</f>
        <v/>
      </c>
      <c r="H562" s="25" t="str">
        <f>IF($E562="","",ROUND(IF(Inputs!$B$12="Daily Simple Interest",$E562*Inputs!$B$6/Inputs!$B$17*$D562,$E562*Inputs!$B$6/Inputs!$B$19),2))</f>
        <v/>
      </c>
      <c r="I562" s="25" t="str">
        <f t="shared" si="81"/>
        <v/>
      </c>
      <c r="J562" s="25" t="str">
        <f>IF($E562="","",IF($F562+$G562&gt;0,Inputs!$B$11,0))</f>
        <v/>
      </c>
      <c r="K562" s="25" t="str">
        <f t="shared" si="82"/>
        <v/>
      </c>
      <c r="L562" s="25" t="str">
        <f t="shared" si="83"/>
        <v/>
      </c>
      <c r="M562" s="25" t="str">
        <f t="shared" si="84"/>
        <v/>
      </c>
      <c r="N562" s="84" t="str">
        <f t="shared" si="85"/>
        <v/>
      </c>
      <c r="O562" s="23" t="str">
        <f t="shared" si="86"/>
        <v/>
      </c>
    </row>
    <row r="563" spans="1:15" ht="20" customHeight="1">
      <c r="A563" s="22" t="str">
        <f t="shared" si="87"/>
        <v/>
      </c>
      <c r="B563" s="23" t="str">
        <f>IF($E563="","",217)</f>
        <v/>
      </c>
      <c r="C563" s="24" t="str">
        <f>IF($E563="","",EDATE(Inputs!$B$9,INT(216/2))+IF(MOD(216,2)=0,0,Inputs!$B$22))</f>
        <v/>
      </c>
      <c r="D563" s="23" t="str">
        <f t="shared" si="88"/>
        <v/>
      </c>
      <c r="E563" s="25" t="str">
        <f t="shared" si="89"/>
        <v/>
      </c>
      <c r="F563" s="25" t="str">
        <f>IF($E563="","",ROUND(MIN(Comparison!$C$5,MAX(0,$E563+$H563)),2))</f>
        <v/>
      </c>
      <c r="G563" s="25" t="str">
        <f>IF($E563="","",ROUND(MIN(Inputs!$B$10,MAX(0,$E563+$H563-$F563)),2))</f>
        <v/>
      </c>
      <c r="H563" s="25" t="str">
        <f>IF($E563="","",ROUND(IF(Inputs!$B$12="Daily Simple Interest",$E563*Inputs!$B$6/Inputs!$B$17*$D563,$E563*Inputs!$B$6/Inputs!$B$19),2))</f>
        <v/>
      </c>
      <c r="I563" s="25" t="str">
        <f t="shared" si="81"/>
        <v/>
      </c>
      <c r="J563" s="25" t="str">
        <f>IF($E563="","",IF($F563+$G563&gt;0,Inputs!$B$11,0))</f>
        <v/>
      </c>
      <c r="K563" s="25" t="str">
        <f t="shared" si="82"/>
        <v/>
      </c>
      <c r="L563" s="25" t="str">
        <f t="shared" si="83"/>
        <v/>
      </c>
      <c r="M563" s="25" t="str">
        <f t="shared" si="84"/>
        <v/>
      </c>
      <c r="N563" s="84" t="str">
        <f t="shared" si="85"/>
        <v/>
      </c>
      <c r="O563" s="23" t="str">
        <f t="shared" si="86"/>
        <v/>
      </c>
    </row>
    <row r="564" spans="1:15" ht="20" customHeight="1">
      <c r="A564" s="22" t="str">
        <f t="shared" si="87"/>
        <v/>
      </c>
      <c r="B564" s="23" t="str">
        <f>IF($E564="","",218)</f>
        <v/>
      </c>
      <c r="C564" s="24" t="str">
        <f>IF($E564="","",EDATE(Inputs!$B$9,INT(217/2))+IF(MOD(217,2)=0,0,Inputs!$B$22))</f>
        <v/>
      </c>
      <c r="D564" s="23" t="str">
        <f t="shared" si="88"/>
        <v/>
      </c>
      <c r="E564" s="25" t="str">
        <f t="shared" si="89"/>
        <v/>
      </c>
      <c r="F564" s="25" t="str">
        <f>IF($E564="","",ROUND(MIN(Comparison!$C$5,MAX(0,$E564+$H564)),2))</f>
        <v/>
      </c>
      <c r="G564" s="25" t="str">
        <f>IF($E564="","",ROUND(MIN(Inputs!$B$10,MAX(0,$E564+$H564-$F564)),2))</f>
        <v/>
      </c>
      <c r="H564" s="25" t="str">
        <f>IF($E564="","",ROUND(IF(Inputs!$B$12="Daily Simple Interest",$E564*Inputs!$B$6/Inputs!$B$17*$D564,$E564*Inputs!$B$6/Inputs!$B$19),2))</f>
        <v/>
      </c>
      <c r="I564" s="25" t="str">
        <f t="shared" si="81"/>
        <v/>
      </c>
      <c r="J564" s="25" t="str">
        <f>IF($E564="","",IF($F564+$G564&gt;0,Inputs!$B$11,0))</f>
        <v/>
      </c>
      <c r="K564" s="25" t="str">
        <f t="shared" si="82"/>
        <v/>
      </c>
      <c r="L564" s="25" t="str">
        <f t="shared" si="83"/>
        <v/>
      </c>
      <c r="M564" s="25" t="str">
        <f t="shared" si="84"/>
        <v/>
      </c>
      <c r="N564" s="84" t="str">
        <f t="shared" si="85"/>
        <v/>
      </c>
      <c r="O564" s="23" t="str">
        <f t="shared" si="86"/>
        <v/>
      </c>
    </row>
    <row r="565" spans="1:15" ht="20" customHeight="1">
      <c r="A565" s="22" t="str">
        <f t="shared" si="87"/>
        <v/>
      </c>
      <c r="B565" s="23" t="str">
        <f>IF($E565="","",219)</f>
        <v/>
      </c>
      <c r="C565" s="24" t="str">
        <f>IF($E565="","",EDATE(Inputs!$B$9,INT(218/2))+IF(MOD(218,2)=0,0,Inputs!$B$22))</f>
        <v/>
      </c>
      <c r="D565" s="23" t="str">
        <f t="shared" si="88"/>
        <v/>
      </c>
      <c r="E565" s="25" t="str">
        <f t="shared" si="89"/>
        <v/>
      </c>
      <c r="F565" s="25" t="str">
        <f>IF($E565="","",ROUND(MIN(Comparison!$C$5,MAX(0,$E565+$H565)),2))</f>
        <v/>
      </c>
      <c r="G565" s="25" t="str">
        <f>IF($E565="","",ROUND(MIN(Inputs!$B$10,MAX(0,$E565+$H565-$F565)),2))</f>
        <v/>
      </c>
      <c r="H565" s="25" t="str">
        <f>IF($E565="","",ROUND(IF(Inputs!$B$12="Daily Simple Interest",$E565*Inputs!$B$6/Inputs!$B$17*$D565,$E565*Inputs!$B$6/Inputs!$B$19),2))</f>
        <v/>
      </c>
      <c r="I565" s="25" t="str">
        <f t="shared" si="81"/>
        <v/>
      </c>
      <c r="J565" s="25" t="str">
        <f>IF($E565="","",IF($F565+$G565&gt;0,Inputs!$B$11,0))</f>
        <v/>
      </c>
      <c r="K565" s="25" t="str">
        <f t="shared" si="82"/>
        <v/>
      </c>
      <c r="L565" s="25" t="str">
        <f t="shared" si="83"/>
        <v/>
      </c>
      <c r="M565" s="25" t="str">
        <f t="shared" si="84"/>
        <v/>
      </c>
      <c r="N565" s="84" t="str">
        <f t="shared" si="85"/>
        <v/>
      </c>
      <c r="O565" s="23" t="str">
        <f t="shared" si="86"/>
        <v/>
      </c>
    </row>
    <row r="566" spans="1:15" ht="20" customHeight="1">
      <c r="A566" s="22" t="str">
        <f t="shared" si="87"/>
        <v/>
      </c>
      <c r="B566" s="23" t="str">
        <f>IF($E566="","",220)</f>
        <v/>
      </c>
      <c r="C566" s="24" t="str">
        <f>IF($E566="","",EDATE(Inputs!$B$9,INT(219/2))+IF(MOD(219,2)=0,0,Inputs!$B$22))</f>
        <v/>
      </c>
      <c r="D566" s="23" t="str">
        <f t="shared" si="88"/>
        <v/>
      </c>
      <c r="E566" s="25" t="str">
        <f t="shared" si="89"/>
        <v/>
      </c>
      <c r="F566" s="25" t="str">
        <f>IF($E566="","",ROUND(MIN(Comparison!$C$5,MAX(0,$E566+$H566)),2))</f>
        <v/>
      </c>
      <c r="G566" s="25" t="str">
        <f>IF($E566="","",ROUND(MIN(Inputs!$B$10,MAX(0,$E566+$H566-$F566)),2))</f>
        <v/>
      </c>
      <c r="H566" s="25" t="str">
        <f>IF($E566="","",ROUND(IF(Inputs!$B$12="Daily Simple Interest",$E566*Inputs!$B$6/Inputs!$B$17*$D566,$E566*Inputs!$B$6/Inputs!$B$19),2))</f>
        <v/>
      </c>
      <c r="I566" s="25" t="str">
        <f t="shared" si="81"/>
        <v/>
      </c>
      <c r="J566" s="25" t="str">
        <f>IF($E566="","",IF($F566+$G566&gt;0,Inputs!$B$11,0))</f>
        <v/>
      </c>
      <c r="K566" s="25" t="str">
        <f t="shared" si="82"/>
        <v/>
      </c>
      <c r="L566" s="25" t="str">
        <f t="shared" si="83"/>
        <v/>
      </c>
      <c r="M566" s="25" t="str">
        <f t="shared" si="84"/>
        <v/>
      </c>
      <c r="N566" s="84" t="str">
        <f t="shared" si="85"/>
        <v/>
      </c>
      <c r="O566" s="23" t="str">
        <f t="shared" si="86"/>
        <v/>
      </c>
    </row>
    <row r="567" spans="1:15" ht="20" customHeight="1">
      <c r="A567" s="22" t="str">
        <f t="shared" si="87"/>
        <v/>
      </c>
      <c r="B567" s="23" t="str">
        <f>IF($E567="","",221)</f>
        <v/>
      </c>
      <c r="C567" s="24" t="str">
        <f>IF($E567="","",EDATE(Inputs!$B$9,INT(220/2))+IF(MOD(220,2)=0,0,Inputs!$B$22))</f>
        <v/>
      </c>
      <c r="D567" s="23" t="str">
        <f t="shared" si="88"/>
        <v/>
      </c>
      <c r="E567" s="25" t="str">
        <f t="shared" si="89"/>
        <v/>
      </c>
      <c r="F567" s="25" t="str">
        <f>IF($E567="","",ROUND(MIN(Comparison!$C$5,MAX(0,$E567+$H567)),2))</f>
        <v/>
      </c>
      <c r="G567" s="25" t="str">
        <f>IF($E567="","",ROUND(MIN(Inputs!$B$10,MAX(0,$E567+$H567-$F567)),2))</f>
        <v/>
      </c>
      <c r="H567" s="25" t="str">
        <f>IF($E567="","",ROUND(IF(Inputs!$B$12="Daily Simple Interest",$E567*Inputs!$B$6/Inputs!$B$17*$D567,$E567*Inputs!$B$6/Inputs!$B$19),2))</f>
        <v/>
      </c>
      <c r="I567" s="25" t="str">
        <f t="shared" si="81"/>
        <v/>
      </c>
      <c r="J567" s="25" t="str">
        <f>IF($E567="","",IF($F567+$G567&gt;0,Inputs!$B$11,0))</f>
        <v/>
      </c>
      <c r="K567" s="25" t="str">
        <f t="shared" si="82"/>
        <v/>
      </c>
      <c r="L567" s="25" t="str">
        <f t="shared" si="83"/>
        <v/>
      </c>
      <c r="M567" s="25" t="str">
        <f t="shared" si="84"/>
        <v/>
      </c>
      <c r="N567" s="84" t="str">
        <f t="shared" si="85"/>
        <v/>
      </c>
      <c r="O567" s="23" t="str">
        <f t="shared" si="86"/>
        <v/>
      </c>
    </row>
    <row r="568" spans="1:15" ht="20" customHeight="1">
      <c r="A568" s="22" t="str">
        <f t="shared" si="87"/>
        <v/>
      </c>
      <c r="B568" s="23" t="str">
        <f>IF($E568="","",222)</f>
        <v/>
      </c>
      <c r="C568" s="24" t="str">
        <f>IF($E568="","",EDATE(Inputs!$B$9,INT(221/2))+IF(MOD(221,2)=0,0,Inputs!$B$22))</f>
        <v/>
      </c>
      <c r="D568" s="23" t="str">
        <f t="shared" si="88"/>
        <v/>
      </c>
      <c r="E568" s="25" t="str">
        <f t="shared" si="89"/>
        <v/>
      </c>
      <c r="F568" s="25" t="str">
        <f>IF($E568="","",ROUND(MIN(Comparison!$C$5,MAX(0,$E568+$H568)),2))</f>
        <v/>
      </c>
      <c r="G568" s="25" t="str">
        <f>IF($E568="","",ROUND(MIN(Inputs!$B$10,MAX(0,$E568+$H568-$F568)),2))</f>
        <v/>
      </c>
      <c r="H568" s="25" t="str">
        <f>IF($E568="","",ROUND(IF(Inputs!$B$12="Daily Simple Interest",$E568*Inputs!$B$6/Inputs!$B$17*$D568,$E568*Inputs!$B$6/Inputs!$B$19),2))</f>
        <v/>
      </c>
      <c r="I568" s="25" t="str">
        <f t="shared" si="81"/>
        <v/>
      </c>
      <c r="J568" s="25" t="str">
        <f>IF($E568="","",IF($F568+$G568&gt;0,Inputs!$B$11,0))</f>
        <v/>
      </c>
      <c r="K568" s="25" t="str">
        <f t="shared" si="82"/>
        <v/>
      </c>
      <c r="L568" s="25" t="str">
        <f t="shared" si="83"/>
        <v/>
      </c>
      <c r="M568" s="25" t="str">
        <f t="shared" si="84"/>
        <v/>
      </c>
      <c r="N568" s="84" t="str">
        <f t="shared" si="85"/>
        <v/>
      </c>
      <c r="O568" s="23" t="str">
        <f t="shared" si="86"/>
        <v/>
      </c>
    </row>
    <row r="569" spans="1:15" ht="20" customHeight="1">
      <c r="A569" s="22" t="str">
        <f t="shared" si="87"/>
        <v/>
      </c>
      <c r="B569" s="23" t="str">
        <f>IF($E569="","",223)</f>
        <v/>
      </c>
      <c r="C569" s="24" t="str">
        <f>IF($E569="","",EDATE(Inputs!$B$9,INT(222/2))+IF(MOD(222,2)=0,0,Inputs!$B$22))</f>
        <v/>
      </c>
      <c r="D569" s="23" t="str">
        <f t="shared" si="88"/>
        <v/>
      </c>
      <c r="E569" s="25" t="str">
        <f t="shared" si="89"/>
        <v/>
      </c>
      <c r="F569" s="25" t="str">
        <f>IF($E569="","",ROUND(MIN(Comparison!$C$5,MAX(0,$E569+$H569)),2))</f>
        <v/>
      </c>
      <c r="G569" s="25" t="str">
        <f>IF($E569="","",ROUND(MIN(Inputs!$B$10,MAX(0,$E569+$H569-$F569)),2))</f>
        <v/>
      </c>
      <c r="H569" s="25" t="str">
        <f>IF($E569="","",ROUND(IF(Inputs!$B$12="Daily Simple Interest",$E569*Inputs!$B$6/Inputs!$B$17*$D569,$E569*Inputs!$B$6/Inputs!$B$19),2))</f>
        <v/>
      </c>
      <c r="I569" s="25" t="str">
        <f t="shared" si="81"/>
        <v/>
      </c>
      <c r="J569" s="25" t="str">
        <f>IF($E569="","",IF($F569+$G569&gt;0,Inputs!$B$11,0))</f>
        <v/>
      </c>
      <c r="K569" s="25" t="str">
        <f t="shared" si="82"/>
        <v/>
      </c>
      <c r="L569" s="25" t="str">
        <f t="shared" si="83"/>
        <v/>
      </c>
      <c r="M569" s="25" t="str">
        <f t="shared" si="84"/>
        <v/>
      </c>
      <c r="N569" s="84" t="str">
        <f t="shared" si="85"/>
        <v/>
      </c>
      <c r="O569" s="23" t="str">
        <f t="shared" si="86"/>
        <v/>
      </c>
    </row>
    <row r="570" spans="1:15" ht="20" customHeight="1">
      <c r="A570" s="22" t="str">
        <f t="shared" si="87"/>
        <v/>
      </c>
      <c r="B570" s="23" t="str">
        <f>IF($E570="","",224)</f>
        <v/>
      </c>
      <c r="C570" s="24" t="str">
        <f>IF($E570="","",EDATE(Inputs!$B$9,INT(223/2))+IF(MOD(223,2)=0,0,Inputs!$B$22))</f>
        <v/>
      </c>
      <c r="D570" s="23" t="str">
        <f t="shared" si="88"/>
        <v/>
      </c>
      <c r="E570" s="25" t="str">
        <f t="shared" si="89"/>
        <v/>
      </c>
      <c r="F570" s="25" t="str">
        <f>IF($E570="","",ROUND(MIN(Comparison!$C$5,MAX(0,$E570+$H570)),2))</f>
        <v/>
      </c>
      <c r="G570" s="25" t="str">
        <f>IF($E570="","",ROUND(MIN(Inputs!$B$10,MAX(0,$E570+$H570-$F570)),2))</f>
        <v/>
      </c>
      <c r="H570" s="25" t="str">
        <f>IF($E570="","",ROUND(IF(Inputs!$B$12="Daily Simple Interest",$E570*Inputs!$B$6/Inputs!$B$17*$D570,$E570*Inputs!$B$6/Inputs!$B$19),2))</f>
        <v/>
      </c>
      <c r="I570" s="25" t="str">
        <f t="shared" si="81"/>
        <v/>
      </c>
      <c r="J570" s="25" t="str">
        <f>IF($E570="","",IF($F570+$G570&gt;0,Inputs!$B$11,0))</f>
        <v/>
      </c>
      <c r="K570" s="25" t="str">
        <f t="shared" si="82"/>
        <v/>
      </c>
      <c r="L570" s="25" t="str">
        <f t="shared" si="83"/>
        <v/>
      </c>
      <c r="M570" s="25" t="str">
        <f t="shared" si="84"/>
        <v/>
      </c>
      <c r="N570" s="84" t="str">
        <f t="shared" si="85"/>
        <v/>
      </c>
      <c r="O570" s="23" t="str">
        <f t="shared" si="86"/>
        <v/>
      </c>
    </row>
    <row r="571" spans="1:15" ht="20" customHeight="1">
      <c r="A571" s="22" t="str">
        <f t="shared" si="87"/>
        <v/>
      </c>
      <c r="B571" s="23" t="str">
        <f>IF($E571="","",225)</f>
        <v/>
      </c>
      <c r="C571" s="24" t="str">
        <f>IF($E571="","",EDATE(Inputs!$B$9,INT(224/2))+IF(MOD(224,2)=0,0,Inputs!$B$22))</f>
        <v/>
      </c>
      <c r="D571" s="23" t="str">
        <f t="shared" si="88"/>
        <v/>
      </c>
      <c r="E571" s="25" t="str">
        <f t="shared" si="89"/>
        <v/>
      </c>
      <c r="F571" s="25" t="str">
        <f>IF($E571="","",ROUND(MIN(Comparison!$C$5,MAX(0,$E571+$H571)),2))</f>
        <v/>
      </c>
      <c r="G571" s="25" t="str">
        <f>IF($E571="","",ROUND(MIN(Inputs!$B$10,MAX(0,$E571+$H571-$F571)),2))</f>
        <v/>
      </c>
      <c r="H571" s="25" t="str">
        <f>IF($E571="","",ROUND(IF(Inputs!$B$12="Daily Simple Interest",$E571*Inputs!$B$6/Inputs!$B$17*$D571,$E571*Inputs!$B$6/Inputs!$B$19),2))</f>
        <v/>
      </c>
      <c r="I571" s="25" t="str">
        <f t="shared" si="81"/>
        <v/>
      </c>
      <c r="J571" s="25" t="str">
        <f>IF($E571="","",IF($F571+$G571&gt;0,Inputs!$B$11,0))</f>
        <v/>
      </c>
      <c r="K571" s="25" t="str">
        <f t="shared" si="82"/>
        <v/>
      </c>
      <c r="L571" s="25" t="str">
        <f t="shared" si="83"/>
        <v/>
      </c>
      <c r="M571" s="25" t="str">
        <f t="shared" si="84"/>
        <v/>
      </c>
      <c r="N571" s="84" t="str">
        <f t="shared" si="85"/>
        <v/>
      </c>
      <c r="O571" s="23" t="str">
        <f t="shared" si="86"/>
        <v/>
      </c>
    </row>
    <row r="572" spans="1:15" ht="20" customHeight="1">
      <c r="A572" s="22" t="str">
        <f t="shared" si="87"/>
        <v/>
      </c>
      <c r="B572" s="23" t="str">
        <f>IF($E572="","",226)</f>
        <v/>
      </c>
      <c r="C572" s="24" t="str">
        <f>IF($E572="","",EDATE(Inputs!$B$9,INT(225/2))+IF(MOD(225,2)=0,0,Inputs!$B$22))</f>
        <v/>
      </c>
      <c r="D572" s="23" t="str">
        <f t="shared" si="88"/>
        <v/>
      </c>
      <c r="E572" s="25" t="str">
        <f t="shared" si="89"/>
        <v/>
      </c>
      <c r="F572" s="25" t="str">
        <f>IF($E572="","",ROUND(MIN(Comparison!$C$5,MAX(0,$E572+$H572)),2))</f>
        <v/>
      </c>
      <c r="G572" s="25" t="str">
        <f>IF($E572="","",ROUND(MIN(Inputs!$B$10,MAX(0,$E572+$H572-$F572)),2))</f>
        <v/>
      </c>
      <c r="H572" s="25" t="str">
        <f>IF($E572="","",ROUND(IF(Inputs!$B$12="Daily Simple Interest",$E572*Inputs!$B$6/Inputs!$B$17*$D572,$E572*Inputs!$B$6/Inputs!$B$19),2))</f>
        <v/>
      </c>
      <c r="I572" s="25" t="str">
        <f t="shared" si="81"/>
        <v/>
      </c>
      <c r="J572" s="25" t="str">
        <f>IF($E572="","",IF($F572+$G572&gt;0,Inputs!$B$11,0))</f>
        <v/>
      </c>
      <c r="K572" s="25" t="str">
        <f t="shared" si="82"/>
        <v/>
      </c>
      <c r="L572" s="25" t="str">
        <f t="shared" si="83"/>
        <v/>
      </c>
      <c r="M572" s="25" t="str">
        <f t="shared" si="84"/>
        <v/>
      </c>
      <c r="N572" s="84" t="str">
        <f t="shared" si="85"/>
        <v/>
      </c>
      <c r="O572" s="23" t="str">
        <f t="shared" si="86"/>
        <v/>
      </c>
    </row>
    <row r="573" spans="1:15" ht="20" customHeight="1">
      <c r="A573" s="22" t="str">
        <f t="shared" si="87"/>
        <v/>
      </c>
      <c r="B573" s="23" t="str">
        <f>IF($E573="","",227)</f>
        <v/>
      </c>
      <c r="C573" s="24" t="str">
        <f>IF($E573="","",EDATE(Inputs!$B$9,INT(226/2))+IF(MOD(226,2)=0,0,Inputs!$B$22))</f>
        <v/>
      </c>
      <c r="D573" s="23" t="str">
        <f t="shared" si="88"/>
        <v/>
      </c>
      <c r="E573" s="25" t="str">
        <f t="shared" si="89"/>
        <v/>
      </c>
      <c r="F573" s="25" t="str">
        <f>IF($E573="","",ROUND(MIN(Comparison!$C$5,MAX(0,$E573+$H573)),2))</f>
        <v/>
      </c>
      <c r="G573" s="25" t="str">
        <f>IF($E573="","",ROUND(MIN(Inputs!$B$10,MAX(0,$E573+$H573-$F573)),2))</f>
        <v/>
      </c>
      <c r="H573" s="25" t="str">
        <f>IF($E573="","",ROUND(IF(Inputs!$B$12="Daily Simple Interest",$E573*Inputs!$B$6/Inputs!$B$17*$D573,$E573*Inputs!$B$6/Inputs!$B$19),2))</f>
        <v/>
      </c>
      <c r="I573" s="25" t="str">
        <f t="shared" si="81"/>
        <v/>
      </c>
      <c r="J573" s="25" t="str">
        <f>IF($E573="","",IF($F573+$G573&gt;0,Inputs!$B$11,0))</f>
        <v/>
      </c>
      <c r="K573" s="25" t="str">
        <f t="shared" si="82"/>
        <v/>
      </c>
      <c r="L573" s="25" t="str">
        <f t="shared" si="83"/>
        <v/>
      </c>
      <c r="M573" s="25" t="str">
        <f t="shared" si="84"/>
        <v/>
      </c>
      <c r="N573" s="84" t="str">
        <f t="shared" si="85"/>
        <v/>
      </c>
      <c r="O573" s="23" t="str">
        <f t="shared" si="86"/>
        <v/>
      </c>
    </row>
    <row r="574" spans="1:15" ht="20" customHeight="1">
      <c r="A574" s="22" t="str">
        <f t="shared" si="87"/>
        <v/>
      </c>
      <c r="B574" s="23" t="str">
        <f>IF($E574="","",228)</f>
        <v/>
      </c>
      <c r="C574" s="24" t="str">
        <f>IF($E574="","",EDATE(Inputs!$B$9,INT(227/2))+IF(MOD(227,2)=0,0,Inputs!$B$22))</f>
        <v/>
      </c>
      <c r="D574" s="23" t="str">
        <f t="shared" si="88"/>
        <v/>
      </c>
      <c r="E574" s="25" t="str">
        <f t="shared" si="89"/>
        <v/>
      </c>
      <c r="F574" s="25" t="str">
        <f>IF($E574="","",ROUND(MIN(Comparison!$C$5,MAX(0,$E574+$H574)),2))</f>
        <v/>
      </c>
      <c r="G574" s="25" t="str">
        <f>IF($E574="","",ROUND(MIN(Inputs!$B$10,MAX(0,$E574+$H574-$F574)),2))</f>
        <v/>
      </c>
      <c r="H574" s="25" t="str">
        <f>IF($E574="","",ROUND(IF(Inputs!$B$12="Daily Simple Interest",$E574*Inputs!$B$6/Inputs!$B$17*$D574,$E574*Inputs!$B$6/Inputs!$B$19),2))</f>
        <v/>
      </c>
      <c r="I574" s="25" t="str">
        <f t="shared" si="81"/>
        <v/>
      </c>
      <c r="J574" s="25" t="str">
        <f>IF($E574="","",IF($F574+$G574&gt;0,Inputs!$B$11,0))</f>
        <v/>
      </c>
      <c r="K574" s="25" t="str">
        <f t="shared" si="82"/>
        <v/>
      </c>
      <c r="L574" s="25" t="str">
        <f t="shared" si="83"/>
        <v/>
      </c>
      <c r="M574" s="25" t="str">
        <f t="shared" si="84"/>
        <v/>
      </c>
      <c r="N574" s="84" t="str">
        <f t="shared" si="85"/>
        <v/>
      </c>
      <c r="O574" s="23" t="str">
        <f t="shared" si="86"/>
        <v/>
      </c>
    </row>
    <row r="575" spans="1:15" ht="20" customHeight="1">
      <c r="A575" s="22" t="str">
        <f t="shared" si="87"/>
        <v/>
      </c>
      <c r="B575" s="23" t="str">
        <f>IF($E575="","",229)</f>
        <v/>
      </c>
      <c r="C575" s="24" t="str">
        <f>IF($E575="","",EDATE(Inputs!$B$9,INT(228/2))+IF(MOD(228,2)=0,0,Inputs!$B$22))</f>
        <v/>
      </c>
      <c r="D575" s="23" t="str">
        <f t="shared" si="88"/>
        <v/>
      </c>
      <c r="E575" s="25" t="str">
        <f t="shared" si="89"/>
        <v/>
      </c>
      <c r="F575" s="25" t="str">
        <f>IF($E575="","",ROUND(MIN(Comparison!$C$5,MAX(0,$E575+$H575)),2))</f>
        <v/>
      </c>
      <c r="G575" s="25" t="str">
        <f>IF($E575="","",ROUND(MIN(Inputs!$B$10,MAX(0,$E575+$H575-$F575)),2))</f>
        <v/>
      </c>
      <c r="H575" s="25" t="str">
        <f>IF($E575="","",ROUND(IF(Inputs!$B$12="Daily Simple Interest",$E575*Inputs!$B$6/Inputs!$B$17*$D575,$E575*Inputs!$B$6/Inputs!$B$19),2))</f>
        <v/>
      </c>
      <c r="I575" s="25" t="str">
        <f t="shared" si="81"/>
        <v/>
      </c>
      <c r="J575" s="25" t="str">
        <f>IF($E575="","",IF($F575+$G575&gt;0,Inputs!$B$11,0))</f>
        <v/>
      </c>
      <c r="K575" s="25" t="str">
        <f t="shared" si="82"/>
        <v/>
      </c>
      <c r="L575" s="25" t="str">
        <f t="shared" si="83"/>
        <v/>
      </c>
      <c r="M575" s="25" t="str">
        <f t="shared" si="84"/>
        <v/>
      </c>
      <c r="N575" s="84" t="str">
        <f t="shared" si="85"/>
        <v/>
      </c>
      <c r="O575" s="23" t="str">
        <f t="shared" si="86"/>
        <v/>
      </c>
    </row>
    <row r="576" spans="1:15" ht="20" customHeight="1">
      <c r="A576" s="22" t="str">
        <f t="shared" si="87"/>
        <v/>
      </c>
      <c r="B576" s="23" t="str">
        <f>IF($E576="","",230)</f>
        <v/>
      </c>
      <c r="C576" s="24" t="str">
        <f>IF($E576="","",EDATE(Inputs!$B$9,INT(229/2))+IF(MOD(229,2)=0,0,Inputs!$B$22))</f>
        <v/>
      </c>
      <c r="D576" s="23" t="str">
        <f t="shared" si="88"/>
        <v/>
      </c>
      <c r="E576" s="25" t="str">
        <f t="shared" si="89"/>
        <v/>
      </c>
      <c r="F576" s="25" t="str">
        <f>IF($E576="","",ROUND(MIN(Comparison!$C$5,MAX(0,$E576+$H576)),2))</f>
        <v/>
      </c>
      <c r="G576" s="25" t="str">
        <f>IF($E576="","",ROUND(MIN(Inputs!$B$10,MAX(0,$E576+$H576-$F576)),2))</f>
        <v/>
      </c>
      <c r="H576" s="25" t="str">
        <f>IF($E576="","",ROUND(IF(Inputs!$B$12="Daily Simple Interest",$E576*Inputs!$B$6/Inputs!$B$17*$D576,$E576*Inputs!$B$6/Inputs!$B$19),2))</f>
        <v/>
      </c>
      <c r="I576" s="25" t="str">
        <f t="shared" si="81"/>
        <v/>
      </c>
      <c r="J576" s="25" t="str">
        <f>IF($E576="","",IF($F576+$G576&gt;0,Inputs!$B$11,0))</f>
        <v/>
      </c>
      <c r="K576" s="25" t="str">
        <f t="shared" si="82"/>
        <v/>
      </c>
      <c r="L576" s="25" t="str">
        <f t="shared" si="83"/>
        <v/>
      </c>
      <c r="M576" s="25" t="str">
        <f t="shared" si="84"/>
        <v/>
      </c>
      <c r="N576" s="84" t="str">
        <f t="shared" si="85"/>
        <v/>
      </c>
      <c r="O576" s="23" t="str">
        <f t="shared" si="86"/>
        <v/>
      </c>
    </row>
    <row r="577" spans="1:15" ht="20" customHeight="1">
      <c r="A577" s="22" t="str">
        <f t="shared" si="87"/>
        <v/>
      </c>
      <c r="B577" s="23" t="str">
        <f>IF($E577="","",231)</f>
        <v/>
      </c>
      <c r="C577" s="24" t="str">
        <f>IF($E577="","",EDATE(Inputs!$B$9,INT(230/2))+IF(MOD(230,2)=0,0,Inputs!$B$22))</f>
        <v/>
      </c>
      <c r="D577" s="23" t="str">
        <f t="shared" si="88"/>
        <v/>
      </c>
      <c r="E577" s="25" t="str">
        <f t="shared" si="89"/>
        <v/>
      </c>
      <c r="F577" s="25" t="str">
        <f>IF($E577="","",ROUND(MIN(Comparison!$C$5,MAX(0,$E577+$H577)),2))</f>
        <v/>
      </c>
      <c r="G577" s="25" t="str">
        <f>IF($E577="","",ROUND(MIN(Inputs!$B$10,MAX(0,$E577+$H577-$F577)),2))</f>
        <v/>
      </c>
      <c r="H577" s="25" t="str">
        <f>IF($E577="","",ROUND(IF(Inputs!$B$12="Daily Simple Interest",$E577*Inputs!$B$6/Inputs!$B$17*$D577,$E577*Inputs!$B$6/Inputs!$B$19),2))</f>
        <v/>
      </c>
      <c r="I577" s="25" t="str">
        <f t="shared" si="81"/>
        <v/>
      </c>
      <c r="J577" s="25" t="str">
        <f>IF($E577="","",IF($F577+$G577&gt;0,Inputs!$B$11,0))</f>
        <v/>
      </c>
      <c r="K577" s="25" t="str">
        <f t="shared" si="82"/>
        <v/>
      </c>
      <c r="L577" s="25" t="str">
        <f t="shared" si="83"/>
        <v/>
      </c>
      <c r="M577" s="25" t="str">
        <f t="shared" si="84"/>
        <v/>
      </c>
      <c r="N577" s="84" t="str">
        <f t="shared" si="85"/>
        <v/>
      </c>
      <c r="O577" s="23" t="str">
        <f t="shared" si="86"/>
        <v/>
      </c>
    </row>
    <row r="578" spans="1:15" ht="20" customHeight="1">
      <c r="A578" s="22" t="str">
        <f t="shared" si="87"/>
        <v/>
      </c>
      <c r="B578" s="23" t="str">
        <f>IF($E578="","",232)</f>
        <v/>
      </c>
      <c r="C578" s="24" t="str">
        <f>IF($E578="","",EDATE(Inputs!$B$9,INT(231/2))+IF(MOD(231,2)=0,0,Inputs!$B$22))</f>
        <v/>
      </c>
      <c r="D578" s="23" t="str">
        <f t="shared" si="88"/>
        <v/>
      </c>
      <c r="E578" s="25" t="str">
        <f t="shared" si="89"/>
        <v/>
      </c>
      <c r="F578" s="25" t="str">
        <f>IF($E578="","",ROUND(MIN(Comparison!$C$5,MAX(0,$E578+$H578)),2))</f>
        <v/>
      </c>
      <c r="G578" s="25" t="str">
        <f>IF($E578="","",ROUND(MIN(Inputs!$B$10,MAX(0,$E578+$H578-$F578)),2))</f>
        <v/>
      </c>
      <c r="H578" s="25" t="str">
        <f>IF($E578="","",ROUND(IF(Inputs!$B$12="Daily Simple Interest",$E578*Inputs!$B$6/Inputs!$B$17*$D578,$E578*Inputs!$B$6/Inputs!$B$19),2))</f>
        <v/>
      </c>
      <c r="I578" s="25" t="str">
        <f t="shared" si="81"/>
        <v/>
      </c>
      <c r="J578" s="25" t="str">
        <f>IF($E578="","",IF($F578+$G578&gt;0,Inputs!$B$11,0))</f>
        <v/>
      </c>
      <c r="K578" s="25" t="str">
        <f t="shared" si="82"/>
        <v/>
      </c>
      <c r="L578" s="25" t="str">
        <f t="shared" si="83"/>
        <v/>
      </c>
      <c r="M578" s="25" t="str">
        <f t="shared" si="84"/>
        <v/>
      </c>
      <c r="N578" s="84" t="str">
        <f t="shared" si="85"/>
        <v/>
      </c>
      <c r="O578" s="23" t="str">
        <f t="shared" si="86"/>
        <v/>
      </c>
    </row>
    <row r="579" spans="1:15" ht="20" customHeight="1">
      <c r="A579" s="22" t="str">
        <f t="shared" si="87"/>
        <v/>
      </c>
      <c r="B579" s="23" t="str">
        <f>IF($E579="","",233)</f>
        <v/>
      </c>
      <c r="C579" s="24" t="str">
        <f>IF($E579="","",EDATE(Inputs!$B$9,INT(232/2))+IF(MOD(232,2)=0,0,Inputs!$B$22))</f>
        <v/>
      </c>
      <c r="D579" s="23" t="str">
        <f t="shared" si="88"/>
        <v/>
      </c>
      <c r="E579" s="25" t="str">
        <f t="shared" si="89"/>
        <v/>
      </c>
      <c r="F579" s="25" t="str">
        <f>IF($E579="","",ROUND(MIN(Comparison!$C$5,MAX(0,$E579+$H579)),2))</f>
        <v/>
      </c>
      <c r="G579" s="25" t="str">
        <f>IF($E579="","",ROUND(MIN(Inputs!$B$10,MAX(0,$E579+$H579-$F579)),2))</f>
        <v/>
      </c>
      <c r="H579" s="25" t="str">
        <f>IF($E579="","",ROUND(IF(Inputs!$B$12="Daily Simple Interest",$E579*Inputs!$B$6/Inputs!$B$17*$D579,$E579*Inputs!$B$6/Inputs!$B$19),2))</f>
        <v/>
      </c>
      <c r="I579" s="25" t="str">
        <f t="shared" si="81"/>
        <v/>
      </c>
      <c r="J579" s="25" t="str">
        <f>IF($E579="","",IF($F579+$G579&gt;0,Inputs!$B$11,0))</f>
        <v/>
      </c>
      <c r="K579" s="25" t="str">
        <f t="shared" si="82"/>
        <v/>
      </c>
      <c r="L579" s="25" t="str">
        <f t="shared" si="83"/>
        <v/>
      </c>
      <c r="M579" s="25" t="str">
        <f t="shared" si="84"/>
        <v/>
      </c>
      <c r="N579" s="84" t="str">
        <f t="shared" si="85"/>
        <v/>
      </c>
      <c r="O579" s="23" t="str">
        <f t="shared" si="86"/>
        <v/>
      </c>
    </row>
    <row r="580" spans="1:15" ht="20" customHeight="1">
      <c r="A580" s="22" t="str">
        <f t="shared" si="87"/>
        <v/>
      </c>
      <c r="B580" s="23" t="str">
        <f>IF($E580="","",234)</f>
        <v/>
      </c>
      <c r="C580" s="24" t="str">
        <f>IF($E580="","",EDATE(Inputs!$B$9,INT(233/2))+IF(MOD(233,2)=0,0,Inputs!$B$22))</f>
        <v/>
      </c>
      <c r="D580" s="23" t="str">
        <f t="shared" si="88"/>
        <v/>
      </c>
      <c r="E580" s="25" t="str">
        <f t="shared" si="89"/>
        <v/>
      </c>
      <c r="F580" s="25" t="str">
        <f>IF($E580="","",ROUND(MIN(Comparison!$C$5,MAX(0,$E580+$H580)),2))</f>
        <v/>
      </c>
      <c r="G580" s="25" t="str">
        <f>IF($E580="","",ROUND(MIN(Inputs!$B$10,MAX(0,$E580+$H580-$F580)),2))</f>
        <v/>
      </c>
      <c r="H580" s="25" t="str">
        <f>IF($E580="","",ROUND(IF(Inputs!$B$12="Daily Simple Interest",$E580*Inputs!$B$6/Inputs!$B$17*$D580,$E580*Inputs!$B$6/Inputs!$B$19),2))</f>
        <v/>
      </c>
      <c r="I580" s="25" t="str">
        <f t="shared" si="81"/>
        <v/>
      </c>
      <c r="J580" s="25" t="str">
        <f>IF($E580="","",IF($F580+$G580&gt;0,Inputs!$B$11,0))</f>
        <v/>
      </c>
      <c r="K580" s="25" t="str">
        <f t="shared" si="82"/>
        <v/>
      </c>
      <c r="L580" s="25" t="str">
        <f t="shared" si="83"/>
        <v/>
      </c>
      <c r="M580" s="25" t="str">
        <f t="shared" si="84"/>
        <v/>
      </c>
      <c r="N580" s="84" t="str">
        <f t="shared" si="85"/>
        <v/>
      </c>
      <c r="O580" s="23" t="str">
        <f t="shared" si="86"/>
        <v/>
      </c>
    </row>
    <row r="581" spans="1:15" ht="20" customHeight="1">
      <c r="A581" s="22" t="str">
        <f t="shared" si="87"/>
        <v/>
      </c>
      <c r="B581" s="23" t="str">
        <f>IF($E581="","",235)</f>
        <v/>
      </c>
      <c r="C581" s="24" t="str">
        <f>IF($E581="","",EDATE(Inputs!$B$9,INT(234/2))+IF(MOD(234,2)=0,0,Inputs!$B$22))</f>
        <v/>
      </c>
      <c r="D581" s="23" t="str">
        <f t="shared" si="88"/>
        <v/>
      </c>
      <c r="E581" s="25" t="str">
        <f t="shared" si="89"/>
        <v/>
      </c>
      <c r="F581" s="25" t="str">
        <f>IF($E581="","",ROUND(MIN(Comparison!$C$5,MAX(0,$E581+$H581)),2))</f>
        <v/>
      </c>
      <c r="G581" s="25" t="str">
        <f>IF($E581="","",ROUND(MIN(Inputs!$B$10,MAX(0,$E581+$H581-$F581)),2))</f>
        <v/>
      </c>
      <c r="H581" s="25" t="str">
        <f>IF($E581="","",ROUND(IF(Inputs!$B$12="Daily Simple Interest",$E581*Inputs!$B$6/Inputs!$B$17*$D581,$E581*Inputs!$B$6/Inputs!$B$19),2))</f>
        <v/>
      </c>
      <c r="I581" s="25" t="str">
        <f t="shared" si="81"/>
        <v/>
      </c>
      <c r="J581" s="25" t="str">
        <f>IF($E581="","",IF($F581+$G581&gt;0,Inputs!$B$11,0))</f>
        <v/>
      </c>
      <c r="K581" s="25" t="str">
        <f t="shared" si="82"/>
        <v/>
      </c>
      <c r="L581" s="25" t="str">
        <f t="shared" si="83"/>
        <v/>
      </c>
      <c r="M581" s="25" t="str">
        <f t="shared" si="84"/>
        <v/>
      </c>
      <c r="N581" s="84" t="str">
        <f t="shared" si="85"/>
        <v/>
      </c>
      <c r="O581" s="23" t="str">
        <f t="shared" si="86"/>
        <v/>
      </c>
    </row>
    <row r="582" spans="1:15" ht="20" customHeight="1">
      <c r="A582" s="22" t="str">
        <f t="shared" si="87"/>
        <v/>
      </c>
      <c r="B582" s="23" t="str">
        <f>IF($E582="","",236)</f>
        <v/>
      </c>
      <c r="C582" s="24" t="str">
        <f>IF($E582="","",EDATE(Inputs!$B$9,INT(235/2))+IF(MOD(235,2)=0,0,Inputs!$B$22))</f>
        <v/>
      </c>
      <c r="D582" s="23" t="str">
        <f t="shared" si="88"/>
        <v/>
      </c>
      <c r="E582" s="25" t="str">
        <f t="shared" si="89"/>
        <v/>
      </c>
      <c r="F582" s="25" t="str">
        <f>IF($E582="","",ROUND(MIN(Comparison!$C$5,MAX(0,$E582+$H582)),2))</f>
        <v/>
      </c>
      <c r="G582" s="25" t="str">
        <f>IF($E582="","",ROUND(MIN(Inputs!$B$10,MAX(0,$E582+$H582-$F582)),2))</f>
        <v/>
      </c>
      <c r="H582" s="25" t="str">
        <f>IF($E582="","",ROUND(IF(Inputs!$B$12="Daily Simple Interest",$E582*Inputs!$B$6/Inputs!$B$17*$D582,$E582*Inputs!$B$6/Inputs!$B$19),2))</f>
        <v/>
      </c>
      <c r="I582" s="25" t="str">
        <f t="shared" si="81"/>
        <v/>
      </c>
      <c r="J582" s="25" t="str">
        <f>IF($E582="","",IF($F582+$G582&gt;0,Inputs!$B$11,0))</f>
        <v/>
      </c>
      <c r="K582" s="25" t="str">
        <f t="shared" si="82"/>
        <v/>
      </c>
      <c r="L582" s="25" t="str">
        <f t="shared" si="83"/>
        <v/>
      </c>
      <c r="M582" s="25" t="str">
        <f t="shared" si="84"/>
        <v/>
      </c>
      <c r="N582" s="84" t="str">
        <f t="shared" si="85"/>
        <v/>
      </c>
      <c r="O582" s="23" t="str">
        <f t="shared" si="86"/>
        <v/>
      </c>
    </row>
    <row r="583" spans="1:15" ht="20" customHeight="1">
      <c r="A583" s="22" t="str">
        <f t="shared" si="87"/>
        <v/>
      </c>
      <c r="B583" s="23" t="str">
        <f>IF($E583="","",237)</f>
        <v/>
      </c>
      <c r="C583" s="24" t="str">
        <f>IF($E583="","",EDATE(Inputs!$B$9,INT(236/2))+IF(MOD(236,2)=0,0,Inputs!$B$22))</f>
        <v/>
      </c>
      <c r="D583" s="23" t="str">
        <f t="shared" si="88"/>
        <v/>
      </c>
      <c r="E583" s="25" t="str">
        <f t="shared" si="89"/>
        <v/>
      </c>
      <c r="F583" s="25" t="str">
        <f>IF($E583="","",ROUND(MIN(Comparison!$C$5,MAX(0,$E583+$H583)),2))</f>
        <v/>
      </c>
      <c r="G583" s="25" t="str">
        <f>IF($E583="","",ROUND(MIN(Inputs!$B$10,MAX(0,$E583+$H583-$F583)),2))</f>
        <v/>
      </c>
      <c r="H583" s="25" t="str">
        <f>IF($E583="","",ROUND(IF(Inputs!$B$12="Daily Simple Interest",$E583*Inputs!$B$6/Inputs!$B$17*$D583,$E583*Inputs!$B$6/Inputs!$B$19),2))</f>
        <v/>
      </c>
      <c r="I583" s="25" t="str">
        <f t="shared" ref="I583:I646" si="90">IF($E583="","",ROUND($F583+$G583-$H583,2))</f>
        <v/>
      </c>
      <c r="J583" s="25" t="str">
        <f>IF($E583="","",IF($F583+$G583&gt;0,Inputs!$B$11,0))</f>
        <v/>
      </c>
      <c r="K583" s="25" t="str">
        <f t="shared" ref="K583:K646" si="91">IF($E583="","",ROUND(MAX(0,$E583-$I583),2))</f>
        <v/>
      </c>
      <c r="L583" s="25" t="str">
        <f t="shared" ref="L583:L646" si="92">IF($E583="","",$F583+$G583)</f>
        <v/>
      </c>
      <c r="M583" s="25" t="str">
        <f t="shared" ref="M583:M646" si="93">IF($E583="","",0)</f>
        <v/>
      </c>
      <c r="N583" s="84" t="str">
        <f t="shared" ref="N583:N646" si="94">IF($E583="","",IF($K583&lt;=0.005,"PAID OFF","ACTIVE"))</f>
        <v/>
      </c>
      <c r="O583" s="23" t="str">
        <f t="shared" ref="O583:O646" si="95">IF($E583="","",IF($F583+$G583&gt;0,1,0))</f>
        <v/>
      </c>
    </row>
    <row r="584" spans="1:15" ht="20" customHeight="1">
      <c r="A584" s="22" t="str">
        <f t="shared" si="87"/>
        <v/>
      </c>
      <c r="B584" s="23" t="str">
        <f>IF($E584="","",238)</f>
        <v/>
      </c>
      <c r="C584" s="24" t="str">
        <f>IF($E584="","",EDATE(Inputs!$B$9,INT(237/2))+IF(MOD(237,2)=0,0,Inputs!$B$22))</f>
        <v/>
      </c>
      <c r="D584" s="23" t="str">
        <f t="shared" si="88"/>
        <v/>
      </c>
      <c r="E584" s="25" t="str">
        <f t="shared" si="89"/>
        <v/>
      </c>
      <c r="F584" s="25" t="str">
        <f>IF($E584="","",ROUND(MIN(Comparison!$C$5,MAX(0,$E584+$H584)),2))</f>
        <v/>
      </c>
      <c r="G584" s="25" t="str">
        <f>IF($E584="","",ROUND(MIN(Inputs!$B$10,MAX(0,$E584+$H584-$F584)),2))</f>
        <v/>
      </c>
      <c r="H584" s="25" t="str">
        <f>IF($E584="","",ROUND(IF(Inputs!$B$12="Daily Simple Interest",$E584*Inputs!$B$6/Inputs!$B$17*$D584,$E584*Inputs!$B$6/Inputs!$B$19),2))</f>
        <v/>
      </c>
      <c r="I584" s="25" t="str">
        <f t="shared" si="90"/>
        <v/>
      </c>
      <c r="J584" s="25" t="str">
        <f>IF($E584="","",IF($F584+$G584&gt;0,Inputs!$B$11,0))</f>
        <v/>
      </c>
      <c r="K584" s="25" t="str">
        <f t="shared" si="91"/>
        <v/>
      </c>
      <c r="L584" s="25" t="str">
        <f t="shared" si="92"/>
        <v/>
      </c>
      <c r="M584" s="25" t="str">
        <f t="shared" si="93"/>
        <v/>
      </c>
      <c r="N584" s="84" t="str">
        <f t="shared" si="94"/>
        <v/>
      </c>
      <c r="O584" s="23" t="str">
        <f t="shared" si="95"/>
        <v/>
      </c>
    </row>
    <row r="585" spans="1:15" ht="20" customHeight="1">
      <c r="A585" s="22" t="str">
        <f t="shared" si="87"/>
        <v/>
      </c>
      <c r="B585" s="23" t="str">
        <f>IF($E585="","",239)</f>
        <v/>
      </c>
      <c r="C585" s="24" t="str">
        <f>IF($E585="","",EDATE(Inputs!$B$9,INT(238/2))+IF(MOD(238,2)=0,0,Inputs!$B$22))</f>
        <v/>
      </c>
      <c r="D585" s="23" t="str">
        <f t="shared" si="88"/>
        <v/>
      </c>
      <c r="E585" s="25" t="str">
        <f t="shared" si="89"/>
        <v/>
      </c>
      <c r="F585" s="25" t="str">
        <f>IF($E585="","",ROUND(MIN(Comparison!$C$5,MAX(0,$E585+$H585)),2))</f>
        <v/>
      </c>
      <c r="G585" s="25" t="str">
        <f>IF($E585="","",ROUND(MIN(Inputs!$B$10,MAX(0,$E585+$H585-$F585)),2))</f>
        <v/>
      </c>
      <c r="H585" s="25" t="str">
        <f>IF($E585="","",ROUND(IF(Inputs!$B$12="Daily Simple Interest",$E585*Inputs!$B$6/Inputs!$B$17*$D585,$E585*Inputs!$B$6/Inputs!$B$19),2))</f>
        <v/>
      </c>
      <c r="I585" s="25" t="str">
        <f t="shared" si="90"/>
        <v/>
      </c>
      <c r="J585" s="25" t="str">
        <f>IF($E585="","",IF($F585+$G585&gt;0,Inputs!$B$11,0))</f>
        <v/>
      </c>
      <c r="K585" s="25" t="str">
        <f t="shared" si="91"/>
        <v/>
      </c>
      <c r="L585" s="25" t="str">
        <f t="shared" si="92"/>
        <v/>
      </c>
      <c r="M585" s="25" t="str">
        <f t="shared" si="93"/>
        <v/>
      </c>
      <c r="N585" s="84" t="str">
        <f t="shared" si="94"/>
        <v/>
      </c>
      <c r="O585" s="23" t="str">
        <f t="shared" si="95"/>
        <v/>
      </c>
    </row>
    <row r="586" spans="1:15" ht="20" customHeight="1">
      <c r="A586" s="22" t="str">
        <f t="shared" si="87"/>
        <v/>
      </c>
      <c r="B586" s="23" t="str">
        <f>IF($E586="","",240)</f>
        <v/>
      </c>
      <c r="C586" s="24" t="str">
        <f>IF($E586="","",EDATE(Inputs!$B$9,INT(239/2))+IF(MOD(239,2)=0,0,Inputs!$B$22))</f>
        <v/>
      </c>
      <c r="D586" s="23" t="str">
        <f t="shared" si="88"/>
        <v/>
      </c>
      <c r="E586" s="25" t="str">
        <f t="shared" si="89"/>
        <v/>
      </c>
      <c r="F586" s="25" t="str">
        <f>IF($E586="","",ROUND(MIN(Comparison!$C$5,MAX(0,$E586+$H586)),2))</f>
        <v/>
      </c>
      <c r="G586" s="25" t="str">
        <f>IF($E586="","",ROUND(MIN(Inputs!$B$10,MAX(0,$E586+$H586-$F586)),2))</f>
        <v/>
      </c>
      <c r="H586" s="25" t="str">
        <f>IF($E586="","",ROUND(IF(Inputs!$B$12="Daily Simple Interest",$E586*Inputs!$B$6/Inputs!$B$17*$D586,$E586*Inputs!$B$6/Inputs!$B$19),2))</f>
        <v/>
      </c>
      <c r="I586" s="25" t="str">
        <f t="shared" si="90"/>
        <v/>
      </c>
      <c r="J586" s="25" t="str">
        <f>IF($E586="","",IF($F586+$G586&gt;0,Inputs!$B$11,0))</f>
        <v/>
      </c>
      <c r="K586" s="25" t="str">
        <f t="shared" si="91"/>
        <v/>
      </c>
      <c r="L586" s="25" t="str">
        <f t="shared" si="92"/>
        <v/>
      </c>
      <c r="M586" s="25" t="str">
        <f t="shared" si="93"/>
        <v/>
      </c>
      <c r="N586" s="84" t="str">
        <f t="shared" si="94"/>
        <v/>
      </c>
      <c r="O586" s="23" t="str">
        <f t="shared" si="95"/>
        <v/>
      </c>
    </row>
    <row r="587" spans="1:15" ht="20" customHeight="1">
      <c r="A587" s="22" t="str">
        <f t="shared" si="87"/>
        <v/>
      </c>
      <c r="B587" s="23" t="str">
        <f>IF($E587="","",241)</f>
        <v/>
      </c>
      <c r="C587" s="24" t="str">
        <f>IF($E587="","",EDATE(Inputs!$B$9,INT(240/2))+IF(MOD(240,2)=0,0,Inputs!$B$22))</f>
        <v/>
      </c>
      <c r="D587" s="23" t="str">
        <f t="shared" si="88"/>
        <v/>
      </c>
      <c r="E587" s="25" t="str">
        <f t="shared" si="89"/>
        <v/>
      </c>
      <c r="F587" s="25" t="str">
        <f>IF($E587="","",ROUND(MIN(Comparison!$C$5,MAX(0,$E587+$H587)),2))</f>
        <v/>
      </c>
      <c r="G587" s="25" t="str">
        <f>IF($E587="","",ROUND(MIN(Inputs!$B$10,MAX(0,$E587+$H587-$F587)),2))</f>
        <v/>
      </c>
      <c r="H587" s="25" t="str">
        <f>IF($E587="","",ROUND(IF(Inputs!$B$12="Daily Simple Interest",$E587*Inputs!$B$6/Inputs!$B$17*$D587,$E587*Inputs!$B$6/Inputs!$B$19),2))</f>
        <v/>
      </c>
      <c r="I587" s="25" t="str">
        <f t="shared" si="90"/>
        <v/>
      </c>
      <c r="J587" s="25" t="str">
        <f>IF($E587="","",IF($F587+$G587&gt;0,Inputs!$B$11,0))</f>
        <v/>
      </c>
      <c r="K587" s="25" t="str">
        <f t="shared" si="91"/>
        <v/>
      </c>
      <c r="L587" s="25" t="str">
        <f t="shared" si="92"/>
        <v/>
      </c>
      <c r="M587" s="25" t="str">
        <f t="shared" si="93"/>
        <v/>
      </c>
      <c r="N587" s="84" t="str">
        <f t="shared" si="94"/>
        <v/>
      </c>
      <c r="O587" s="23" t="str">
        <f t="shared" si="95"/>
        <v/>
      </c>
    </row>
    <row r="588" spans="1:15" ht="20" customHeight="1">
      <c r="A588" s="22" t="str">
        <f t="shared" si="87"/>
        <v/>
      </c>
      <c r="B588" s="23" t="str">
        <f>IF($E588="","",242)</f>
        <v/>
      </c>
      <c r="C588" s="24" t="str">
        <f>IF($E588="","",EDATE(Inputs!$B$9,INT(241/2))+IF(MOD(241,2)=0,0,Inputs!$B$22))</f>
        <v/>
      </c>
      <c r="D588" s="23" t="str">
        <f t="shared" si="88"/>
        <v/>
      </c>
      <c r="E588" s="25" t="str">
        <f t="shared" si="89"/>
        <v/>
      </c>
      <c r="F588" s="25" t="str">
        <f>IF($E588="","",ROUND(MIN(Comparison!$C$5,MAX(0,$E588+$H588)),2))</f>
        <v/>
      </c>
      <c r="G588" s="25" t="str">
        <f>IF($E588="","",ROUND(MIN(Inputs!$B$10,MAX(0,$E588+$H588-$F588)),2))</f>
        <v/>
      </c>
      <c r="H588" s="25" t="str">
        <f>IF($E588="","",ROUND(IF(Inputs!$B$12="Daily Simple Interest",$E588*Inputs!$B$6/Inputs!$B$17*$D588,$E588*Inputs!$B$6/Inputs!$B$19),2))</f>
        <v/>
      </c>
      <c r="I588" s="25" t="str">
        <f t="shared" si="90"/>
        <v/>
      </c>
      <c r="J588" s="25" t="str">
        <f>IF($E588="","",IF($F588+$G588&gt;0,Inputs!$B$11,0))</f>
        <v/>
      </c>
      <c r="K588" s="25" t="str">
        <f t="shared" si="91"/>
        <v/>
      </c>
      <c r="L588" s="25" t="str">
        <f t="shared" si="92"/>
        <v/>
      </c>
      <c r="M588" s="25" t="str">
        <f t="shared" si="93"/>
        <v/>
      </c>
      <c r="N588" s="84" t="str">
        <f t="shared" si="94"/>
        <v/>
      </c>
      <c r="O588" s="23" t="str">
        <f t="shared" si="95"/>
        <v/>
      </c>
    </row>
    <row r="589" spans="1:15" ht="20" customHeight="1">
      <c r="A589" s="22" t="str">
        <f t="shared" si="87"/>
        <v/>
      </c>
      <c r="B589" s="23" t="str">
        <f>IF($E589="","",243)</f>
        <v/>
      </c>
      <c r="C589" s="24" t="str">
        <f>IF($E589="","",EDATE(Inputs!$B$9,INT(242/2))+IF(MOD(242,2)=0,0,Inputs!$B$22))</f>
        <v/>
      </c>
      <c r="D589" s="23" t="str">
        <f t="shared" si="88"/>
        <v/>
      </c>
      <c r="E589" s="25" t="str">
        <f t="shared" si="89"/>
        <v/>
      </c>
      <c r="F589" s="25" t="str">
        <f>IF($E589="","",ROUND(MIN(Comparison!$C$5,MAX(0,$E589+$H589)),2))</f>
        <v/>
      </c>
      <c r="G589" s="25" t="str">
        <f>IF($E589="","",ROUND(MIN(Inputs!$B$10,MAX(0,$E589+$H589-$F589)),2))</f>
        <v/>
      </c>
      <c r="H589" s="25" t="str">
        <f>IF($E589="","",ROUND(IF(Inputs!$B$12="Daily Simple Interest",$E589*Inputs!$B$6/Inputs!$B$17*$D589,$E589*Inputs!$B$6/Inputs!$B$19),2))</f>
        <v/>
      </c>
      <c r="I589" s="25" t="str">
        <f t="shared" si="90"/>
        <v/>
      </c>
      <c r="J589" s="25" t="str">
        <f>IF($E589="","",IF($F589+$G589&gt;0,Inputs!$B$11,0))</f>
        <v/>
      </c>
      <c r="K589" s="25" t="str">
        <f t="shared" si="91"/>
        <v/>
      </c>
      <c r="L589" s="25" t="str">
        <f t="shared" si="92"/>
        <v/>
      </c>
      <c r="M589" s="25" t="str">
        <f t="shared" si="93"/>
        <v/>
      </c>
      <c r="N589" s="84" t="str">
        <f t="shared" si="94"/>
        <v/>
      </c>
      <c r="O589" s="23" t="str">
        <f t="shared" si="95"/>
        <v/>
      </c>
    </row>
    <row r="590" spans="1:15" ht="20" customHeight="1">
      <c r="A590" s="22" t="str">
        <f t="shared" si="87"/>
        <v/>
      </c>
      <c r="B590" s="23" t="str">
        <f>IF($E590="","",244)</f>
        <v/>
      </c>
      <c r="C590" s="24" t="str">
        <f>IF($E590="","",EDATE(Inputs!$B$9,INT(243/2))+IF(MOD(243,2)=0,0,Inputs!$B$22))</f>
        <v/>
      </c>
      <c r="D590" s="23" t="str">
        <f t="shared" si="88"/>
        <v/>
      </c>
      <c r="E590" s="25" t="str">
        <f t="shared" si="89"/>
        <v/>
      </c>
      <c r="F590" s="25" t="str">
        <f>IF($E590="","",ROUND(MIN(Comparison!$C$5,MAX(0,$E590+$H590)),2))</f>
        <v/>
      </c>
      <c r="G590" s="25" t="str">
        <f>IF($E590="","",ROUND(MIN(Inputs!$B$10,MAX(0,$E590+$H590-$F590)),2))</f>
        <v/>
      </c>
      <c r="H590" s="25" t="str">
        <f>IF($E590="","",ROUND(IF(Inputs!$B$12="Daily Simple Interest",$E590*Inputs!$B$6/Inputs!$B$17*$D590,$E590*Inputs!$B$6/Inputs!$B$19),2))</f>
        <v/>
      </c>
      <c r="I590" s="25" t="str">
        <f t="shared" si="90"/>
        <v/>
      </c>
      <c r="J590" s="25" t="str">
        <f>IF($E590="","",IF($F590+$G590&gt;0,Inputs!$B$11,0))</f>
        <v/>
      </c>
      <c r="K590" s="25" t="str">
        <f t="shared" si="91"/>
        <v/>
      </c>
      <c r="L590" s="25" t="str">
        <f t="shared" si="92"/>
        <v/>
      </c>
      <c r="M590" s="25" t="str">
        <f t="shared" si="93"/>
        <v/>
      </c>
      <c r="N590" s="84" t="str">
        <f t="shared" si="94"/>
        <v/>
      </c>
      <c r="O590" s="23" t="str">
        <f t="shared" si="95"/>
        <v/>
      </c>
    </row>
    <row r="591" spans="1:15" ht="20" customHeight="1">
      <c r="A591" s="22" t="str">
        <f t="shared" si="87"/>
        <v/>
      </c>
      <c r="B591" s="23" t="str">
        <f>IF($E591="","",245)</f>
        <v/>
      </c>
      <c r="C591" s="24" t="str">
        <f>IF($E591="","",EDATE(Inputs!$B$9,INT(244/2))+IF(MOD(244,2)=0,0,Inputs!$B$22))</f>
        <v/>
      </c>
      <c r="D591" s="23" t="str">
        <f t="shared" si="88"/>
        <v/>
      </c>
      <c r="E591" s="25" t="str">
        <f t="shared" si="89"/>
        <v/>
      </c>
      <c r="F591" s="25" t="str">
        <f>IF($E591="","",ROUND(MIN(Comparison!$C$5,MAX(0,$E591+$H591)),2))</f>
        <v/>
      </c>
      <c r="G591" s="25" t="str">
        <f>IF($E591="","",ROUND(MIN(Inputs!$B$10,MAX(0,$E591+$H591-$F591)),2))</f>
        <v/>
      </c>
      <c r="H591" s="25" t="str">
        <f>IF($E591="","",ROUND(IF(Inputs!$B$12="Daily Simple Interest",$E591*Inputs!$B$6/Inputs!$B$17*$D591,$E591*Inputs!$B$6/Inputs!$B$19),2))</f>
        <v/>
      </c>
      <c r="I591" s="25" t="str">
        <f t="shared" si="90"/>
        <v/>
      </c>
      <c r="J591" s="25" t="str">
        <f>IF($E591="","",IF($F591+$G591&gt;0,Inputs!$B$11,0))</f>
        <v/>
      </c>
      <c r="K591" s="25" t="str">
        <f t="shared" si="91"/>
        <v/>
      </c>
      <c r="L591" s="25" t="str">
        <f t="shared" si="92"/>
        <v/>
      </c>
      <c r="M591" s="25" t="str">
        <f t="shared" si="93"/>
        <v/>
      </c>
      <c r="N591" s="84" t="str">
        <f t="shared" si="94"/>
        <v/>
      </c>
      <c r="O591" s="23" t="str">
        <f t="shared" si="95"/>
        <v/>
      </c>
    </row>
    <row r="592" spans="1:15" ht="20" customHeight="1">
      <c r="A592" s="22" t="str">
        <f t="shared" si="87"/>
        <v/>
      </c>
      <c r="B592" s="23" t="str">
        <f>IF($E592="","",246)</f>
        <v/>
      </c>
      <c r="C592" s="24" t="str">
        <f>IF($E592="","",EDATE(Inputs!$B$9,INT(245/2))+IF(MOD(245,2)=0,0,Inputs!$B$22))</f>
        <v/>
      </c>
      <c r="D592" s="23" t="str">
        <f t="shared" si="88"/>
        <v/>
      </c>
      <c r="E592" s="25" t="str">
        <f t="shared" si="89"/>
        <v/>
      </c>
      <c r="F592" s="25" t="str">
        <f>IF($E592="","",ROUND(MIN(Comparison!$C$5,MAX(0,$E592+$H592)),2))</f>
        <v/>
      </c>
      <c r="G592" s="25" t="str">
        <f>IF($E592="","",ROUND(MIN(Inputs!$B$10,MAX(0,$E592+$H592-$F592)),2))</f>
        <v/>
      </c>
      <c r="H592" s="25" t="str">
        <f>IF($E592="","",ROUND(IF(Inputs!$B$12="Daily Simple Interest",$E592*Inputs!$B$6/Inputs!$B$17*$D592,$E592*Inputs!$B$6/Inputs!$B$19),2))</f>
        <v/>
      </c>
      <c r="I592" s="25" t="str">
        <f t="shared" si="90"/>
        <v/>
      </c>
      <c r="J592" s="25" t="str">
        <f>IF($E592="","",IF($F592+$G592&gt;0,Inputs!$B$11,0))</f>
        <v/>
      </c>
      <c r="K592" s="25" t="str">
        <f t="shared" si="91"/>
        <v/>
      </c>
      <c r="L592" s="25" t="str">
        <f t="shared" si="92"/>
        <v/>
      </c>
      <c r="M592" s="25" t="str">
        <f t="shared" si="93"/>
        <v/>
      </c>
      <c r="N592" s="84" t="str">
        <f t="shared" si="94"/>
        <v/>
      </c>
      <c r="O592" s="23" t="str">
        <f t="shared" si="95"/>
        <v/>
      </c>
    </row>
    <row r="593" spans="1:15" ht="20" customHeight="1">
      <c r="A593" s="22" t="str">
        <f t="shared" si="87"/>
        <v/>
      </c>
      <c r="B593" s="23" t="str">
        <f>IF($E593="","",247)</f>
        <v/>
      </c>
      <c r="C593" s="24" t="str">
        <f>IF($E593="","",EDATE(Inputs!$B$9,INT(246/2))+IF(MOD(246,2)=0,0,Inputs!$B$22))</f>
        <v/>
      </c>
      <c r="D593" s="23" t="str">
        <f t="shared" si="88"/>
        <v/>
      </c>
      <c r="E593" s="25" t="str">
        <f t="shared" si="89"/>
        <v/>
      </c>
      <c r="F593" s="25" t="str">
        <f>IF($E593="","",ROUND(MIN(Comparison!$C$5,MAX(0,$E593+$H593)),2))</f>
        <v/>
      </c>
      <c r="G593" s="25" t="str">
        <f>IF($E593="","",ROUND(MIN(Inputs!$B$10,MAX(0,$E593+$H593-$F593)),2))</f>
        <v/>
      </c>
      <c r="H593" s="25" t="str">
        <f>IF($E593="","",ROUND(IF(Inputs!$B$12="Daily Simple Interest",$E593*Inputs!$B$6/Inputs!$B$17*$D593,$E593*Inputs!$B$6/Inputs!$B$19),2))</f>
        <v/>
      </c>
      <c r="I593" s="25" t="str">
        <f t="shared" si="90"/>
        <v/>
      </c>
      <c r="J593" s="25" t="str">
        <f>IF($E593="","",IF($F593+$G593&gt;0,Inputs!$B$11,0))</f>
        <v/>
      </c>
      <c r="K593" s="25" t="str">
        <f t="shared" si="91"/>
        <v/>
      </c>
      <c r="L593" s="25" t="str">
        <f t="shared" si="92"/>
        <v/>
      </c>
      <c r="M593" s="25" t="str">
        <f t="shared" si="93"/>
        <v/>
      </c>
      <c r="N593" s="84" t="str">
        <f t="shared" si="94"/>
        <v/>
      </c>
      <c r="O593" s="23" t="str">
        <f t="shared" si="95"/>
        <v/>
      </c>
    </row>
    <row r="594" spans="1:15" ht="20" customHeight="1">
      <c r="A594" s="22" t="str">
        <f t="shared" si="87"/>
        <v/>
      </c>
      <c r="B594" s="23" t="str">
        <f>IF($E594="","",248)</f>
        <v/>
      </c>
      <c r="C594" s="24" t="str">
        <f>IF($E594="","",EDATE(Inputs!$B$9,INT(247/2))+IF(MOD(247,2)=0,0,Inputs!$B$22))</f>
        <v/>
      </c>
      <c r="D594" s="23" t="str">
        <f t="shared" si="88"/>
        <v/>
      </c>
      <c r="E594" s="25" t="str">
        <f t="shared" si="89"/>
        <v/>
      </c>
      <c r="F594" s="25" t="str">
        <f>IF($E594="","",ROUND(MIN(Comparison!$C$5,MAX(0,$E594+$H594)),2))</f>
        <v/>
      </c>
      <c r="G594" s="25" t="str">
        <f>IF($E594="","",ROUND(MIN(Inputs!$B$10,MAX(0,$E594+$H594-$F594)),2))</f>
        <v/>
      </c>
      <c r="H594" s="25" t="str">
        <f>IF($E594="","",ROUND(IF(Inputs!$B$12="Daily Simple Interest",$E594*Inputs!$B$6/Inputs!$B$17*$D594,$E594*Inputs!$B$6/Inputs!$B$19),2))</f>
        <v/>
      </c>
      <c r="I594" s="25" t="str">
        <f t="shared" si="90"/>
        <v/>
      </c>
      <c r="J594" s="25" t="str">
        <f>IF($E594="","",IF($F594+$G594&gt;0,Inputs!$B$11,0))</f>
        <v/>
      </c>
      <c r="K594" s="25" t="str">
        <f t="shared" si="91"/>
        <v/>
      </c>
      <c r="L594" s="25" t="str">
        <f t="shared" si="92"/>
        <v/>
      </c>
      <c r="M594" s="25" t="str">
        <f t="shared" si="93"/>
        <v/>
      </c>
      <c r="N594" s="84" t="str">
        <f t="shared" si="94"/>
        <v/>
      </c>
      <c r="O594" s="23" t="str">
        <f t="shared" si="95"/>
        <v/>
      </c>
    </row>
    <row r="595" spans="1:15" ht="20" customHeight="1">
      <c r="A595" s="22" t="str">
        <f t="shared" si="87"/>
        <v/>
      </c>
      <c r="B595" s="23" t="str">
        <f>IF($E595="","",249)</f>
        <v/>
      </c>
      <c r="C595" s="24" t="str">
        <f>IF($E595="","",EDATE(Inputs!$B$9,INT(248/2))+IF(MOD(248,2)=0,0,Inputs!$B$22))</f>
        <v/>
      </c>
      <c r="D595" s="23" t="str">
        <f t="shared" si="88"/>
        <v/>
      </c>
      <c r="E595" s="25" t="str">
        <f t="shared" si="89"/>
        <v/>
      </c>
      <c r="F595" s="25" t="str">
        <f>IF($E595="","",ROUND(MIN(Comparison!$C$5,MAX(0,$E595+$H595)),2))</f>
        <v/>
      </c>
      <c r="G595" s="25" t="str">
        <f>IF($E595="","",ROUND(MIN(Inputs!$B$10,MAX(0,$E595+$H595-$F595)),2))</f>
        <v/>
      </c>
      <c r="H595" s="25" t="str">
        <f>IF($E595="","",ROUND(IF(Inputs!$B$12="Daily Simple Interest",$E595*Inputs!$B$6/Inputs!$B$17*$D595,$E595*Inputs!$B$6/Inputs!$B$19),2))</f>
        <v/>
      </c>
      <c r="I595" s="25" t="str">
        <f t="shared" si="90"/>
        <v/>
      </c>
      <c r="J595" s="25" t="str">
        <f>IF($E595="","",IF($F595+$G595&gt;0,Inputs!$B$11,0))</f>
        <v/>
      </c>
      <c r="K595" s="25" t="str">
        <f t="shared" si="91"/>
        <v/>
      </c>
      <c r="L595" s="25" t="str">
        <f t="shared" si="92"/>
        <v/>
      </c>
      <c r="M595" s="25" t="str">
        <f t="shared" si="93"/>
        <v/>
      </c>
      <c r="N595" s="84" t="str">
        <f t="shared" si="94"/>
        <v/>
      </c>
      <c r="O595" s="23" t="str">
        <f t="shared" si="95"/>
        <v/>
      </c>
    </row>
    <row r="596" spans="1:15" ht="20" customHeight="1">
      <c r="A596" s="22" t="str">
        <f t="shared" si="87"/>
        <v/>
      </c>
      <c r="B596" s="23" t="str">
        <f>IF($E596="","",250)</f>
        <v/>
      </c>
      <c r="C596" s="24" t="str">
        <f>IF($E596="","",EDATE(Inputs!$B$9,INT(249/2))+IF(MOD(249,2)=0,0,Inputs!$B$22))</f>
        <v/>
      </c>
      <c r="D596" s="23" t="str">
        <f t="shared" si="88"/>
        <v/>
      </c>
      <c r="E596" s="25" t="str">
        <f t="shared" si="89"/>
        <v/>
      </c>
      <c r="F596" s="25" t="str">
        <f>IF($E596="","",ROUND(MIN(Comparison!$C$5,MAX(0,$E596+$H596)),2))</f>
        <v/>
      </c>
      <c r="G596" s="25" t="str">
        <f>IF($E596="","",ROUND(MIN(Inputs!$B$10,MAX(0,$E596+$H596-$F596)),2))</f>
        <v/>
      </c>
      <c r="H596" s="25" t="str">
        <f>IF($E596="","",ROUND(IF(Inputs!$B$12="Daily Simple Interest",$E596*Inputs!$B$6/Inputs!$B$17*$D596,$E596*Inputs!$B$6/Inputs!$B$19),2))</f>
        <v/>
      </c>
      <c r="I596" s="25" t="str">
        <f t="shared" si="90"/>
        <v/>
      </c>
      <c r="J596" s="25" t="str">
        <f>IF($E596="","",IF($F596+$G596&gt;0,Inputs!$B$11,0))</f>
        <v/>
      </c>
      <c r="K596" s="25" t="str">
        <f t="shared" si="91"/>
        <v/>
      </c>
      <c r="L596" s="25" t="str">
        <f t="shared" si="92"/>
        <v/>
      </c>
      <c r="M596" s="25" t="str">
        <f t="shared" si="93"/>
        <v/>
      </c>
      <c r="N596" s="84" t="str">
        <f t="shared" si="94"/>
        <v/>
      </c>
      <c r="O596" s="23" t="str">
        <f t="shared" si="95"/>
        <v/>
      </c>
    </row>
    <row r="597" spans="1:15" ht="20" customHeight="1">
      <c r="A597" s="22" t="str">
        <f t="shared" si="87"/>
        <v/>
      </c>
      <c r="B597" s="23" t="str">
        <f>IF($E597="","",251)</f>
        <v/>
      </c>
      <c r="C597" s="24" t="str">
        <f>IF($E597="","",EDATE(Inputs!$B$9,INT(250/2))+IF(MOD(250,2)=0,0,Inputs!$B$22))</f>
        <v/>
      </c>
      <c r="D597" s="23" t="str">
        <f t="shared" si="88"/>
        <v/>
      </c>
      <c r="E597" s="25" t="str">
        <f t="shared" si="89"/>
        <v/>
      </c>
      <c r="F597" s="25" t="str">
        <f>IF($E597="","",ROUND(MIN(Comparison!$C$5,MAX(0,$E597+$H597)),2))</f>
        <v/>
      </c>
      <c r="G597" s="25" t="str">
        <f>IF($E597="","",ROUND(MIN(Inputs!$B$10,MAX(0,$E597+$H597-$F597)),2))</f>
        <v/>
      </c>
      <c r="H597" s="25" t="str">
        <f>IF($E597="","",ROUND(IF(Inputs!$B$12="Daily Simple Interest",$E597*Inputs!$B$6/Inputs!$B$17*$D597,$E597*Inputs!$B$6/Inputs!$B$19),2))</f>
        <v/>
      </c>
      <c r="I597" s="25" t="str">
        <f t="shared" si="90"/>
        <v/>
      </c>
      <c r="J597" s="25" t="str">
        <f>IF($E597="","",IF($F597+$G597&gt;0,Inputs!$B$11,0))</f>
        <v/>
      </c>
      <c r="K597" s="25" t="str">
        <f t="shared" si="91"/>
        <v/>
      </c>
      <c r="L597" s="25" t="str">
        <f t="shared" si="92"/>
        <v/>
      </c>
      <c r="M597" s="25" t="str">
        <f t="shared" si="93"/>
        <v/>
      </c>
      <c r="N597" s="84" t="str">
        <f t="shared" si="94"/>
        <v/>
      </c>
      <c r="O597" s="23" t="str">
        <f t="shared" si="95"/>
        <v/>
      </c>
    </row>
    <row r="598" spans="1:15" ht="20" customHeight="1">
      <c r="A598" s="22" t="str">
        <f t="shared" si="87"/>
        <v/>
      </c>
      <c r="B598" s="23" t="str">
        <f>IF($E598="","",252)</f>
        <v/>
      </c>
      <c r="C598" s="24" t="str">
        <f>IF($E598="","",EDATE(Inputs!$B$9,INT(251/2))+IF(MOD(251,2)=0,0,Inputs!$B$22))</f>
        <v/>
      </c>
      <c r="D598" s="23" t="str">
        <f t="shared" si="88"/>
        <v/>
      </c>
      <c r="E598" s="25" t="str">
        <f t="shared" si="89"/>
        <v/>
      </c>
      <c r="F598" s="25" t="str">
        <f>IF($E598="","",ROUND(MIN(Comparison!$C$5,MAX(0,$E598+$H598)),2))</f>
        <v/>
      </c>
      <c r="G598" s="25" t="str">
        <f>IF($E598="","",ROUND(MIN(Inputs!$B$10,MAX(0,$E598+$H598-$F598)),2))</f>
        <v/>
      </c>
      <c r="H598" s="25" t="str">
        <f>IF($E598="","",ROUND(IF(Inputs!$B$12="Daily Simple Interest",$E598*Inputs!$B$6/Inputs!$B$17*$D598,$E598*Inputs!$B$6/Inputs!$B$19),2))</f>
        <v/>
      </c>
      <c r="I598" s="25" t="str">
        <f t="shared" si="90"/>
        <v/>
      </c>
      <c r="J598" s="25" t="str">
        <f>IF($E598="","",IF($F598+$G598&gt;0,Inputs!$B$11,0))</f>
        <v/>
      </c>
      <c r="K598" s="25" t="str">
        <f t="shared" si="91"/>
        <v/>
      </c>
      <c r="L598" s="25" t="str">
        <f t="shared" si="92"/>
        <v/>
      </c>
      <c r="M598" s="25" t="str">
        <f t="shared" si="93"/>
        <v/>
      </c>
      <c r="N598" s="84" t="str">
        <f t="shared" si="94"/>
        <v/>
      </c>
      <c r="O598" s="23" t="str">
        <f t="shared" si="95"/>
        <v/>
      </c>
    </row>
    <row r="599" spans="1:15" ht="20" customHeight="1">
      <c r="A599" s="22" t="str">
        <f t="shared" si="87"/>
        <v/>
      </c>
      <c r="B599" s="23" t="str">
        <f>IF($E599="","",253)</f>
        <v/>
      </c>
      <c r="C599" s="24" t="str">
        <f>IF($E599="","",EDATE(Inputs!$B$9,INT(252/2))+IF(MOD(252,2)=0,0,Inputs!$B$22))</f>
        <v/>
      </c>
      <c r="D599" s="23" t="str">
        <f t="shared" si="88"/>
        <v/>
      </c>
      <c r="E599" s="25" t="str">
        <f t="shared" si="89"/>
        <v/>
      </c>
      <c r="F599" s="25" t="str">
        <f>IF($E599="","",ROUND(MIN(Comparison!$C$5,MAX(0,$E599+$H599)),2))</f>
        <v/>
      </c>
      <c r="G599" s="25" t="str">
        <f>IF($E599="","",ROUND(MIN(Inputs!$B$10,MAX(0,$E599+$H599-$F599)),2))</f>
        <v/>
      </c>
      <c r="H599" s="25" t="str">
        <f>IF($E599="","",ROUND(IF(Inputs!$B$12="Daily Simple Interest",$E599*Inputs!$B$6/Inputs!$B$17*$D599,$E599*Inputs!$B$6/Inputs!$B$19),2))</f>
        <v/>
      </c>
      <c r="I599" s="25" t="str">
        <f t="shared" si="90"/>
        <v/>
      </c>
      <c r="J599" s="25" t="str">
        <f>IF($E599="","",IF($F599+$G599&gt;0,Inputs!$B$11,0))</f>
        <v/>
      </c>
      <c r="K599" s="25" t="str">
        <f t="shared" si="91"/>
        <v/>
      </c>
      <c r="L599" s="25" t="str">
        <f t="shared" si="92"/>
        <v/>
      </c>
      <c r="M599" s="25" t="str">
        <f t="shared" si="93"/>
        <v/>
      </c>
      <c r="N599" s="84" t="str">
        <f t="shared" si="94"/>
        <v/>
      </c>
      <c r="O599" s="23" t="str">
        <f t="shared" si="95"/>
        <v/>
      </c>
    </row>
    <row r="600" spans="1:15" ht="20" customHeight="1">
      <c r="A600" s="22" t="str">
        <f t="shared" si="87"/>
        <v/>
      </c>
      <c r="B600" s="23" t="str">
        <f>IF($E600="","",254)</f>
        <v/>
      </c>
      <c r="C600" s="24" t="str">
        <f>IF($E600="","",EDATE(Inputs!$B$9,INT(253/2))+IF(MOD(253,2)=0,0,Inputs!$B$22))</f>
        <v/>
      </c>
      <c r="D600" s="23" t="str">
        <f t="shared" si="88"/>
        <v/>
      </c>
      <c r="E600" s="25" t="str">
        <f t="shared" si="89"/>
        <v/>
      </c>
      <c r="F600" s="25" t="str">
        <f>IF($E600="","",ROUND(MIN(Comparison!$C$5,MAX(0,$E600+$H600)),2))</f>
        <v/>
      </c>
      <c r="G600" s="25" t="str">
        <f>IF($E600="","",ROUND(MIN(Inputs!$B$10,MAX(0,$E600+$H600-$F600)),2))</f>
        <v/>
      </c>
      <c r="H600" s="25" t="str">
        <f>IF($E600="","",ROUND(IF(Inputs!$B$12="Daily Simple Interest",$E600*Inputs!$B$6/Inputs!$B$17*$D600,$E600*Inputs!$B$6/Inputs!$B$19),2))</f>
        <v/>
      </c>
      <c r="I600" s="25" t="str">
        <f t="shared" si="90"/>
        <v/>
      </c>
      <c r="J600" s="25" t="str">
        <f>IF($E600="","",IF($F600+$G600&gt;0,Inputs!$B$11,0))</f>
        <v/>
      </c>
      <c r="K600" s="25" t="str">
        <f t="shared" si="91"/>
        <v/>
      </c>
      <c r="L600" s="25" t="str">
        <f t="shared" si="92"/>
        <v/>
      </c>
      <c r="M600" s="25" t="str">
        <f t="shared" si="93"/>
        <v/>
      </c>
      <c r="N600" s="84" t="str">
        <f t="shared" si="94"/>
        <v/>
      </c>
      <c r="O600" s="23" t="str">
        <f t="shared" si="95"/>
        <v/>
      </c>
    </row>
    <row r="601" spans="1:15" ht="20" customHeight="1">
      <c r="A601" s="22" t="str">
        <f t="shared" si="87"/>
        <v/>
      </c>
      <c r="B601" s="23" t="str">
        <f>IF($E601="","",255)</f>
        <v/>
      </c>
      <c r="C601" s="24" t="str">
        <f>IF($E601="","",EDATE(Inputs!$B$9,INT(254/2))+IF(MOD(254,2)=0,0,Inputs!$B$22))</f>
        <v/>
      </c>
      <c r="D601" s="23" t="str">
        <f t="shared" si="88"/>
        <v/>
      </c>
      <c r="E601" s="25" t="str">
        <f t="shared" si="89"/>
        <v/>
      </c>
      <c r="F601" s="25" t="str">
        <f>IF($E601="","",ROUND(MIN(Comparison!$C$5,MAX(0,$E601+$H601)),2))</f>
        <v/>
      </c>
      <c r="G601" s="25" t="str">
        <f>IF($E601="","",ROUND(MIN(Inputs!$B$10,MAX(0,$E601+$H601-$F601)),2))</f>
        <v/>
      </c>
      <c r="H601" s="25" t="str">
        <f>IF($E601="","",ROUND(IF(Inputs!$B$12="Daily Simple Interest",$E601*Inputs!$B$6/Inputs!$B$17*$D601,$E601*Inputs!$B$6/Inputs!$B$19),2))</f>
        <v/>
      </c>
      <c r="I601" s="25" t="str">
        <f t="shared" si="90"/>
        <v/>
      </c>
      <c r="J601" s="25" t="str">
        <f>IF($E601="","",IF($F601+$G601&gt;0,Inputs!$B$11,0))</f>
        <v/>
      </c>
      <c r="K601" s="25" t="str">
        <f t="shared" si="91"/>
        <v/>
      </c>
      <c r="L601" s="25" t="str">
        <f t="shared" si="92"/>
        <v/>
      </c>
      <c r="M601" s="25" t="str">
        <f t="shared" si="93"/>
        <v/>
      </c>
      <c r="N601" s="84" t="str">
        <f t="shared" si="94"/>
        <v/>
      </c>
      <c r="O601" s="23" t="str">
        <f t="shared" si="95"/>
        <v/>
      </c>
    </row>
    <row r="602" spans="1:15" ht="20" customHeight="1">
      <c r="A602" s="22" t="str">
        <f t="shared" si="87"/>
        <v/>
      </c>
      <c r="B602" s="23" t="str">
        <f>IF($E602="","",256)</f>
        <v/>
      </c>
      <c r="C602" s="24" t="str">
        <f>IF($E602="","",EDATE(Inputs!$B$9,INT(255/2))+IF(MOD(255,2)=0,0,Inputs!$B$22))</f>
        <v/>
      </c>
      <c r="D602" s="23" t="str">
        <f t="shared" si="88"/>
        <v/>
      </c>
      <c r="E602" s="25" t="str">
        <f t="shared" si="89"/>
        <v/>
      </c>
      <c r="F602" s="25" t="str">
        <f>IF($E602="","",ROUND(MIN(Comparison!$C$5,MAX(0,$E602+$H602)),2))</f>
        <v/>
      </c>
      <c r="G602" s="25" t="str">
        <f>IF($E602="","",ROUND(MIN(Inputs!$B$10,MAX(0,$E602+$H602-$F602)),2))</f>
        <v/>
      </c>
      <c r="H602" s="25" t="str">
        <f>IF($E602="","",ROUND(IF(Inputs!$B$12="Daily Simple Interest",$E602*Inputs!$B$6/Inputs!$B$17*$D602,$E602*Inputs!$B$6/Inputs!$B$19),2))</f>
        <v/>
      </c>
      <c r="I602" s="25" t="str">
        <f t="shared" si="90"/>
        <v/>
      </c>
      <c r="J602" s="25" t="str">
        <f>IF($E602="","",IF($F602+$G602&gt;0,Inputs!$B$11,0))</f>
        <v/>
      </c>
      <c r="K602" s="25" t="str">
        <f t="shared" si="91"/>
        <v/>
      </c>
      <c r="L602" s="25" t="str">
        <f t="shared" si="92"/>
        <v/>
      </c>
      <c r="M602" s="25" t="str">
        <f t="shared" si="93"/>
        <v/>
      </c>
      <c r="N602" s="84" t="str">
        <f t="shared" si="94"/>
        <v/>
      </c>
      <c r="O602" s="23" t="str">
        <f t="shared" si="95"/>
        <v/>
      </c>
    </row>
    <row r="603" spans="1:15" ht="20" customHeight="1">
      <c r="A603" s="22" t="str">
        <f t="shared" ref="A603:A666" si="96">IF($E603="","","Twice Monthly")</f>
        <v/>
      </c>
      <c r="B603" s="23" t="str">
        <f>IF($E603="","",257)</f>
        <v/>
      </c>
      <c r="C603" s="24" t="str">
        <f>IF($E603="","",EDATE(Inputs!$B$9,INT(256/2))+IF(MOD(256,2)=0,0,Inputs!$B$22))</f>
        <v/>
      </c>
      <c r="D603" s="23" t="str">
        <f t="shared" si="88"/>
        <v/>
      </c>
      <c r="E603" s="25" t="str">
        <f t="shared" si="89"/>
        <v/>
      </c>
      <c r="F603" s="25" t="str">
        <f>IF($E603="","",ROUND(MIN(Comparison!$C$5,MAX(0,$E603+$H603)),2))</f>
        <v/>
      </c>
      <c r="G603" s="25" t="str">
        <f>IF($E603="","",ROUND(MIN(Inputs!$B$10,MAX(0,$E603+$H603-$F603)),2))</f>
        <v/>
      </c>
      <c r="H603" s="25" t="str">
        <f>IF($E603="","",ROUND(IF(Inputs!$B$12="Daily Simple Interest",$E603*Inputs!$B$6/Inputs!$B$17*$D603,$E603*Inputs!$B$6/Inputs!$B$19),2))</f>
        <v/>
      </c>
      <c r="I603" s="25" t="str">
        <f t="shared" si="90"/>
        <v/>
      </c>
      <c r="J603" s="25" t="str">
        <f>IF($E603="","",IF($F603+$G603&gt;0,Inputs!$B$11,0))</f>
        <v/>
      </c>
      <c r="K603" s="25" t="str">
        <f t="shared" si="91"/>
        <v/>
      </c>
      <c r="L603" s="25" t="str">
        <f t="shared" si="92"/>
        <v/>
      </c>
      <c r="M603" s="25" t="str">
        <f t="shared" si="93"/>
        <v/>
      </c>
      <c r="N603" s="84" t="str">
        <f t="shared" si="94"/>
        <v/>
      </c>
      <c r="O603" s="23" t="str">
        <f t="shared" si="95"/>
        <v/>
      </c>
    </row>
    <row r="604" spans="1:15" ht="20" customHeight="1">
      <c r="A604" s="22" t="str">
        <f t="shared" si="96"/>
        <v/>
      </c>
      <c r="B604" s="23" t="str">
        <f>IF($E604="","",258)</f>
        <v/>
      </c>
      <c r="C604" s="24" t="str">
        <f>IF($E604="","",EDATE(Inputs!$B$9,INT(257/2))+IF(MOD(257,2)=0,0,Inputs!$B$22))</f>
        <v/>
      </c>
      <c r="D604" s="23" t="str">
        <f t="shared" ref="D604:D667" si="97">IF($E604="","",$C604-$C603)</f>
        <v/>
      </c>
      <c r="E604" s="25" t="str">
        <f t="shared" ref="E604:E667" si="98">IF($K603&gt;0.005,$K603,"")</f>
        <v/>
      </c>
      <c r="F604" s="25" t="str">
        <f>IF($E604="","",ROUND(MIN(Comparison!$C$5,MAX(0,$E604+$H604)),2))</f>
        <v/>
      </c>
      <c r="G604" s="25" t="str">
        <f>IF($E604="","",ROUND(MIN(Inputs!$B$10,MAX(0,$E604+$H604-$F604)),2))</f>
        <v/>
      </c>
      <c r="H604" s="25" t="str">
        <f>IF($E604="","",ROUND(IF(Inputs!$B$12="Daily Simple Interest",$E604*Inputs!$B$6/Inputs!$B$17*$D604,$E604*Inputs!$B$6/Inputs!$B$19),2))</f>
        <v/>
      </c>
      <c r="I604" s="25" t="str">
        <f t="shared" si="90"/>
        <v/>
      </c>
      <c r="J604" s="25" t="str">
        <f>IF($E604="","",IF($F604+$G604&gt;0,Inputs!$B$11,0))</f>
        <v/>
      </c>
      <c r="K604" s="25" t="str">
        <f t="shared" si="91"/>
        <v/>
      </c>
      <c r="L604" s="25" t="str">
        <f t="shared" si="92"/>
        <v/>
      </c>
      <c r="M604" s="25" t="str">
        <f t="shared" si="93"/>
        <v/>
      </c>
      <c r="N604" s="84" t="str">
        <f t="shared" si="94"/>
        <v/>
      </c>
      <c r="O604" s="23" t="str">
        <f t="shared" si="95"/>
        <v/>
      </c>
    </row>
    <row r="605" spans="1:15" ht="20" customHeight="1">
      <c r="A605" s="22" t="str">
        <f t="shared" si="96"/>
        <v/>
      </c>
      <c r="B605" s="23" t="str">
        <f>IF($E605="","",259)</f>
        <v/>
      </c>
      <c r="C605" s="24" t="str">
        <f>IF($E605="","",EDATE(Inputs!$B$9,INT(258/2))+IF(MOD(258,2)=0,0,Inputs!$B$22))</f>
        <v/>
      </c>
      <c r="D605" s="23" t="str">
        <f t="shared" si="97"/>
        <v/>
      </c>
      <c r="E605" s="25" t="str">
        <f t="shared" si="98"/>
        <v/>
      </c>
      <c r="F605" s="25" t="str">
        <f>IF($E605="","",ROUND(MIN(Comparison!$C$5,MAX(0,$E605+$H605)),2))</f>
        <v/>
      </c>
      <c r="G605" s="25" t="str">
        <f>IF($E605="","",ROUND(MIN(Inputs!$B$10,MAX(0,$E605+$H605-$F605)),2))</f>
        <v/>
      </c>
      <c r="H605" s="25" t="str">
        <f>IF($E605="","",ROUND(IF(Inputs!$B$12="Daily Simple Interest",$E605*Inputs!$B$6/Inputs!$B$17*$D605,$E605*Inputs!$B$6/Inputs!$B$19),2))</f>
        <v/>
      </c>
      <c r="I605" s="25" t="str">
        <f t="shared" si="90"/>
        <v/>
      </c>
      <c r="J605" s="25" t="str">
        <f>IF($E605="","",IF($F605+$G605&gt;0,Inputs!$B$11,0))</f>
        <v/>
      </c>
      <c r="K605" s="25" t="str">
        <f t="shared" si="91"/>
        <v/>
      </c>
      <c r="L605" s="25" t="str">
        <f t="shared" si="92"/>
        <v/>
      </c>
      <c r="M605" s="25" t="str">
        <f t="shared" si="93"/>
        <v/>
      </c>
      <c r="N605" s="84" t="str">
        <f t="shared" si="94"/>
        <v/>
      </c>
      <c r="O605" s="23" t="str">
        <f t="shared" si="95"/>
        <v/>
      </c>
    </row>
    <row r="606" spans="1:15" ht="20" customHeight="1">
      <c r="A606" s="22" t="str">
        <f t="shared" si="96"/>
        <v/>
      </c>
      <c r="B606" s="23" t="str">
        <f>IF($E606="","",260)</f>
        <v/>
      </c>
      <c r="C606" s="24" t="str">
        <f>IF($E606="","",EDATE(Inputs!$B$9,INT(259/2))+IF(MOD(259,2)=0,0,Inputs!$B$22))</f>
        <v/>
      </c>
      <c r="D606" s="23" t="str">
        <f t="shared" si="97"/>
        <v/>
      </c>
      <c r="E606" s="25" t="str">
        <f t="shared" si="98"/>
        <v/>
      </c>
      <c r="F606" s="25" t="str">
        <f>IF($E606="","",ROUND(MIN(Comparison!$C$5,MAX(0,$E606+$H606)),2))</f>
        <v/>
      </c>
      <c r="G606" s="25" t="str">
        <f>IF($E606="","",ROUND(MIN(Inputs!$B$10,MAX(0,$E606+$H606-$F606)),2))</f>
        <v/>
      </c>
      <c r="H606" s="25" t="str">
        <f>IF($E606="","",ROUND(IF(Inputs!$B$12="Daily Simple Interest",$E606*Inputs!$B$6/Inputs!$B$17*$D606,$E606*Inputs!$B$6/Inputs!$B$19),2))</f>
        <v/>
      </c>
      <c r="I606" s="25" t="str">
        <f t="shared" si="90"/>
        <v/>
      </c>
      <c r="J606" s="25" t="str">
        <f>IF($E606="","",IF($F606+$G606&gt;0,Inputs!$B$11,0))</f>
        <v/>
      </c>
      <c r="K606" s="25" t="str">
        <f t="shared" si="91"/>
        <v/>
      </c>
      <c r="L606" s="25" t="str">
        <f t="shared" si="92"/>
        <v/>
      </c>
      <c r="M606" s="25" t="str">
        <f t="shared" si="93"/>
        <v/>
      </c>
      <c r="N606" s="84" t="str">
        <f t="shared" si="94"/>
        <v/>
      </c>
      <c r="O606" s="23" t="str">
        <f t="shared" si="95"/>
        <v/>
      </c>
    </row>
    <row r="607" spans="1:15" ht="20" customHeight="1">
      <c r="A607" s="22" t="str">
        <f t="shared" si="96"/>
        <v/>
      </c>
      <c r="B607" s="23" t="str">
        <f>IF($E607="","",261)</f>
        <v/>
      </c>
      <c r="C607" s="24" t="str">
        <f>IF($E607="","",EDATE(Inputs!$B$9,INT(260/2))+IF(MOD(260,2)=0,0,Inputs!$B$22))</f>
        <v/>
      </c>
      <c r="D607" s="23" t="str">
        <f t="shared" si="97"/>
        <v/>
      </c>
      <c r="E607" s="25" t="str">
        <f t="shared" si="98"/>
        <v/>
      </c>
      <c r="F607" s="25" t="str">
        <f>IF($E607="","",ROUND(MIN(Comparison!$C$5,MAX(0,$E607+$H607)),2))</f>
        <v/>
      </c>
      <c r="G607" s="25" t="str">
        <f>IF($E607="","",ROUND(MIN(Inputs!$B$10,MAX(0,$E607+$H607-$F607)),2))</f>
        <v/>
      </c>
      <c r="H607" s="25" t="str">
        <f>IF($E607="","",ROUND(IF(Inputs!$B$12="Daily Simple Interest",$E607*Inputs!$B$6/Inputs!$B$17*$D607,$E607*Inputs!$B$6/Inputs!$B$19),2))</f>
        <v/>
      </c>
      <c r="I607" s="25" t="str">
        <f t="shared" si="90"/>
        <v/>
      </c>
      <c r="J607" s="25" t="str">
        <f>IF($E607="","",IF($F607+$G607&gt;0,Inputs!$B$11,0))</f>
        <v/>
      </c>
      <c r="K607" s="25" t="str">
        <f t="shared" si="91"/>
        <v/>
      </c>
      <c r="L607" s="25" t="str">
        <f t="shared" si="92"/>
        <v/>
      </c>
      <c r="M607" s="25" t="str">
        <f t="shared" si="93"/>
        <v/>
      </c>
      <c r="N607" s="84" t="str">
        <f t="shared" si="94"/>
        <v/>
      </c>
      <c r="O607" s="23" t="str">
        <f t="shared" si="95"/>
        <v/>
      </c>
    </row>
    <row r="608" spans="1:15" ht="20" customHeight="1">
      <c r="A608" s="22" t="str">
        <f t="shared" si="96"/>
        <v/>
      </c>
      <c r="B608" s="23" t="str">
        <f>IF($E608="","",262)</f>
        <v/>
      </c>
      <c r="C608" s="24" t="str">
        <f>IF($E608="","",EDATE(Inputs!$B$9,INT(261/2))+IF(MOD(261,2)=0,0,Inputs!$B$22))</f>
        <v/>
      </c>
      <c r="D608" s="23" t="str">
        <f t="shared" si="97"/>
        <v/>
      </c>
      <c r="E608" s="25" t="str">
        <f t="shared" si="98"/>
        <v/>
      </c>
      <c r="F608" s="25" t="str">
        <f>IF($E608="","",ROUND(MIN(Comparison!$C$5,MAX(0,$E608+$H608)),2))</f>
        <v/>
      </c>
      <c r="G608" s="25" t="str">
        <f>IF($E608="","",ROUND(MIN(Inputs!$B$10,MAX(0,$E608+$H608-$F608)),2))</f>
        <v/>
      </c>
      <c r="H608" s="25" t="str">
        <f>IF($E608="","",ROUND(IF(Inputs!$B$12="Daily Simple Interest",$E608*Inputs!$B$6/Inputs!$B$17*$D608,$E608*Inputs!$B$6/Inputs!$B$19),2))</f>
        <v/>
      </c>
      <c r="I608" s="25" t="str">
        <f t="shared" si="90"/>
        <v/>
      </c>
      <c r="J608" s="25" t="str">
        <f>IF($E608="","",IF($F608+$G608&gt;0,Inputs!$B$11,0))</f>
        <v/>
      </c>
      <c r="K608" s="25" t="str">
        <f t="shared" si="91"/>
        <v/>
      </c>
      <c r="L608" s="25" t="str">
        <f t="shared" si="92"/>
        <v/>
      </c>
      <c r="M608" s="25" t="str">
        <f t="shared" si="93"/>
        <v/>
      </c>
      <c r="N608" s="84" t="str">
        <f t="shared" si="94"/>
        <v/>
      </c>
      <c r="O608" s="23" t="str">
        <f t="shared" si="95"/>
        <v/>
      </c>
    </row>
    <row r="609" spans="1:15" ht="20" customHeight="1">
      <c r="A609" s="22" t="str">
        <f t="shared" si="96"/>
        <v/>
      </c>
      <c r="B609" s="23" t="str">
        <f>IF($E609="","",263)</f>
        <v/>
      </c>
      <c r="C609" s="24" t="str">
        <f>IF($E609="","",EDATE(Inputs!$B$9,INT(262/2))+IF(MOD(262,2)=0,0,Inputs!$B$22))</f>
        <v/>
      </c>
      <c r="D609" s="23" t="str">
        <f t="shared" si="97"/>
        <v/>
      </c>
      <c r="E609" s="25" t="str">
        <f t="shared" si="98"/>
        <v/>
      </c>
      <c r="F609" s="25" t="str">
        <f>IF($E609="","",ROUND(MIN(Comparison!$C$5,MAX(0,$E609+$H609)),2))</f>
        <v/>
      </c>
      <c r="G609" s="25" t="str">
        <f>IF($E609="","",ROUND(MIN(Inputs!$B$10,MAX(0,$E609+$H609-$F609)),2))</f>
        <v/>
      </c>
      <c r="H609" s="25" t="str">
        <f>IF($E609="","",ROUND(IF(Inputs!$B$12="Daily Simple Interest",$E609*Inputs!$B$6/Inputs!$B$17*$D609,$E609*Inputs!$B$6/Inputs!$B$19),2))</f>
        <v/>
      </c>
      <c r="I609" s="25" t="str">
        <f t="shared" si="90"/>
        <v/>
      </c>
      <c r="J609" s="25" t="str">
        <f>IF($E609="","",IF($F609+$G609&gt;0,Inputs!$B$11,0))</f>
        <v/>
      </c>
      <c r="K609" s="25" t="str">
        <f t="shared" si="91"/>
        <v/>
      </c>
      <c r="L609" s="25" t="str">
        <f t="shared" si="92"/>
        <v/>
      </c>
      <c r="M609" s="25" t="str">
        <f t="shared" si="93"/>
        <v/>
      </c>
      <c r="N609" s="84" t="str">
        <f t="shared" si="94"/>
        <v/>
      </c>
      <c r="O609" s="23" t="str">
        <f t="shared" si="95"/>
        <v/>
      </c>
    </row>
    <row r="610" spans="1:15" ht="20" customHeight="1">
      <c r="A610" s="22" t="str">
        <f t="shared" si="96"/>
        <v/>
      </c>
      <c r="B610" s="23" t="str">
        <f>IF($E610="","",264)</f>
        <v/>
      </c>
      <c r="C610" s="24" t="str">
        <f>IF($E610="","",EDATE(Inputs!$B$9,INT(263/2))+IF(MOD(263,2)=0,0,Inputs!$B$22))</f>
        <v/>
      </c>
      <c r="D610" s="23" t="str">
        <f t="shared" si="97"/>
        <v/>
      </c>
      <c r="E610" s="25" t="str">
        <f t="shared" si="98"/>
        <v/>
      </c>
      <c r="F610" s="25" t="str">
        <f>IF($E610="","",ROUND(MIN(Comparison!$C$5,MAX(0,$E610+$H610)),2))</f>
        <v/>
      </c>
      <c r="G610" s="25" t="str">
        <f>IF($E610="","",ROUND(MIN(Inputs!$B$10,MAX(0,$E610+$H610-$F610)),2))</f>
        <v/>
      </c>
      <c r="H610" s="25" t="str">
        <f>IF($E610="","",ROUND(IF(Inputs!$B$12="Daily Simple Interest",$E610*Inputs!$B$6/Inputs!$B$17*$D610,$E610*Inputs!$B$6/Inputs!$B$19),2))</f>
        <v/>
      </c>
      <c r="I610" s="25" t="str">
        <f t="shared" si="90"/>
        <v/>
      </c>
      <c r="J610" s="25" t="str">
        <f>IF($E610="","",IF($F610+$G610&gt;0,Inputs!$B$11,0))</f>
        <v/>
      </c>
      <c r="K610" s="25" t="str">
        <f t="shared" si="91"/>
        <v/>
      </c>
      <c r="L610" s="25" t="str">
        <f t="shared" si="92"/>
        <v/>
      </c>
      <c r="M610" s="25" t="str">
        <f t="shared" si="93"/>
        <v/>
      </c>
      <c r="N610" s="84" t="str">
        <f t="shared" si="94"/>
        <v/>
      </c>
      <c r="O610" s="23" t="str">
        <f t="shared" si="95"/>
        <v/>
      </c>
    </row>
    <row r="611" spans="1:15" ht="20" customHeight="1">
      <c r="A611" s="22" t="str">
        <f t="shared" si="96"/>
        <v/>
      </c>
      <c r="B611" s="23" t="str">
        <f>IF($E611="","",265)</f>
        <v/>
      </c>
      <c r="C611" s="24" t="str">
        <f>IF($E611="","",EDATE(Inputs!$B$9,INT(264/2))+IF(MOD(264,2)=0,0,Inputs!$B$22))</f>
        <v/>
      </c>
      <c r="D611" s="23" t="str">
        <f t="shared" si="97"/>
        <v/>
      </c>
      <c r="E611" s="25" t="str">
        <f t="shared" si="98"/>
        <v/>
      </c>
      <c r="F611" s="25" t="str">
        <f>IF($E611="","",ROUND(MIN(Comparison!$C$5,MAX(0,$E611+$H611)),2))</f>
        <v/>
      </c>
      <c r="G611" s="25" t="str">
        <f>IF($E611="","",ROUND(MIN(Inputs!$B$10,MAX(0,$E611+$H611-$F611)),2))</f>
        <v/>
      </c>
      <c r="H611" s="25" t="str">
        <f>IF($E611="","",ROUND(IF(Inputs!$B$12="Daily Simple Interest",$E611*Inputs!$B$6/Inputs!$B$17*$D611,$E611*Inputs!$B$6/Inputs!$B$19),2))</f>
        <v/>
      </c>
      <c r="I611" s="25" t="str">
        <f t="shared" si="90"/>
        <v/>
      </c>
      <c r="J611" s="25" t="str">
        <f>IF($E611="","",IF($F611+$G611&gt;0,Inputs!$B$11,0))</f>
        <v/>
      </c>
      <c r="K611" s="25" t="str">
        <f t="shared" si="91"/>
        <v/>
      </c>
      <c r="L611" s="25" t="str">
        <f t="shared" si="92"/>
        <v/>
      </c>
      <c r="M611" s="25" t="str">
        <f t="shared" si="93"/>
        <v/>
      </c>
      <c r="N611" s="84" t="str">
        <f t="shared" si="94"/>
        <v/>
      </c>
      <c r="O611" s="23" t="str">
        <f t="shared" si="95"/>
        <v/>
      </c>
    </row>
    <row r="612" spans="1:15" ht="20" customHeight="1">
      <c r="A612" s="22" t="str">
        <f t="shared" si="96"/>
        <v/>
      </c>
      <c r="B612" s="23" t="str">
        <f>IF($E612="","",266)</f>
        <v/>
      </c>
      <c r="C612" s="24" t="str">
        <f>IF($E612="","",EDATE(Inputs!$B$9,INT(265/2))+IF(MOD(265,2)=0,0,Inputs!$B$22))</f>
        <v/>
      </c>
      <c r="D612" s="23" t="str">
        <f t="shared" si="97"/>
        <v/>
      </c>
      <c r="E612" s="25" t="str">
        <f t="shared" si="98"/>
        <v/>
      </c>
      <c r="F612" s="25" t="str">
        <f>IF($E612="","",ROUND(MIN(Comparison!$C$5,MAX(0,$E612+$H612)),2))</f>
        <v/>
      </c>
      <c r="G612" s="25" t="str">
        <f>IF($E612="","",ROUND(MIN(Inputs!$B$10,MAX(0,$E612+$H612-$F612)),2))</f>
        <v/>
      </c>
      <c r="H612" s="25" t="str">
        <f>IF($E612="","",ROUND(IF(Inputs!$B$12="Daily Simple Interest",$E612*Inputs!$B$6/Inputs!$B$17*$D612,$E612*Inputs!$B$6/Inputs!$B$19),2))</f>
        <v/>
      </c>
      <c r="I612" s="25" t="str">
        <f t="shared" si="90"/>
        <v/>
      </c>
      <c r="J612" s="25" t="str">
        <f>IF($E612="","",IF($F612+$G612&gt;0,Inputs!$B$11,0))</f>
        <v/>
      </c>
      <c r="K612" s="25" t="str">
        <f t="shared" si="91"/>
        <v/>
      </c>
      <c r="L612" s="25" t="str">
        <f t="shared" si="92"/>
        <v/>
      </c>
      <c r="M612" s="25" t="str">
        <f t="shared" si="93"/>
        <v/>
      </c>
      <c r="N612" s="84" t="str">
        <f t="shared" si="94"/>
        <v/>
      </c>
      <c r="O612" s="23" t="str">
        <f t="shared" si="95"/>
        <v/>
      </c>
    </row>
    <row r="613" spans="1:15" ht="20" customHeight="1">
      <c r="A613" s="22" t="str">
        <f t="shared" si="96"/>
        <v/>
      </c>
      <c r="B613" s="23" t="str">
        <f>IF($E613="","",267)</f>
        <v/>
      </c>
      <c r="C613" s="24" t="str">
        <f>IF($E613="","",EDATE(Inputs!$B$9,INT(266/2))+IF(MOD(266,2)=0,0,Inputs!$B$22))</f>
        <v/>
      </c>
      <c r="D613" s="23" t="str">
        <f t="shared" si="97"/>
        <v/>
      </c>
      <c r="E613" s="25" t="str">
        <f t="shared" si="98"/>
        <v/>
      </c>
      <c r="F613" s="25" t="str">
        <f>IF($E613="","",ROUND(MIN(Comparison!$C$5,MAX(0,$E613+$H613)),2))</f>
        <v/>
      </c>
      <c r="G613" s="25" t="str">
        <f>IF($E613="","",ROUND(MIN(Inputs!$B$10,MAX(0,$E613+$H613-$F613)),2))</f>
        <v/>
      </c>
      <c r="H613" s="25" t="str">
        <f>IF($E613="","",ROUND(IF(Inputs!$B$12="Daily Simple Interest",$E613*Inputs!$B$6/Inputs!$B$17*$D613,$E613*Inputs!$B$6/Inputs!$B$19),2))</f>
        <v/>
      </c>
      <c r="I613" s="25" t="str">
        <f t="shared" si="90"/>
        <v/>
      </c>
      <c r="J613" s="25" t="str">
        <f>IF($E613="","",IF($F613+$G613&gt;0,Inputs!$B$11,0))</f>
        <v/>
      </c>
      <c r="K613" s="25" t="str">
        <f t="shared" si="91"/>
        <v/>
      </c>
      <c r="L613" s="25" t="str">
        <f t="shared" si="92"/>
        <v/>
      </c>
      <c r="M613" s="25" t="str">
        <f t="shared" si="93"/>
        <v/>
      </c>
      <c r="N613" s="84" t="str">
        <f t="shared" si="94"/>
        <v/>
      </c>
      <c r="O613" s="23" t="str">
        <f t="shared" si="95"/>
        <v/>
      </c>
    </row>
    <row r="614" spans="1:15" ht="20" customHeight="1">
      <c r="A614" s="22" t="str">
        <f t="shared" si="96"/>
        <v/>
      </c>
      <c r="B614" s="23" t="str">
        <f>IF($E614="","",268)</f>
        <v/>
      </c>
      <c r="C614" s="24" t="str">
        <f>IF($E614="","",EDATE(Inputs!$B$9,INT(267/2))+IF(MOD(267,2)=0,0,Inputs!$B$22))</f>
        <v/>
      </c>
      <c r="D614" s="23" t="str">
        <f t="shared" si="97"/>
        <v/>
      </c>
      <c r="E614" s="25" t="str">
        <f t="shared" si="98"/>
        <v/>
      </c>
      <c r="F614" s="25" t="str">
        <f>IF($E614="","",ROUND(MIN(Comparison!$C$5,MAX(0,$E614+$H614)),2))</f>
        <v/>
      </c>
      <c r="G614" s="25" t="str">
        <f>IF($E614="","",ROUND(MIN(Inputs!$B$10,MAX(0,$E614+$H614-$F614)),2))</f>
        <v/>
      </c>
      <c r="H614" s="25" t="str">
        <f>IF($E614="","",ROUND(IF(Inputs!$B$12="Daily Simple Interest",$E614*Inputs!$B$6/Inputs!$B$17*$D614,$E614*Inputs!$B$6/Inputs!$B$19),2))</f>
        <v/>
      </c>
      <c r="I614" s="25" t="str">
        <f t="shared" si="90"/>
        <v/>
      </c>
      <c r="J614" s="25" t="str">
        <f>IF($E614="","",IF($F614+$G614&gt;0,Inputs!$B$11,0))</f>
        <v/>
      </c>
      <c r="K614" s="25" t="str">
        <f t="shared" si="91"/>
        <v/>
      </c>
      <c r="L614" s="25" t="str">
        <f t="shared" si="92"/>
        <v/>
      </c>
      <c r="M614" s="25" t="str">
        <f t="shared" si="93"/>
        <v/>
      </c>
      <c r="N614" s="84" t="str">
        <f t="shared" si="94"/>
        <v/>
      </c>
      <c r="O614" s="23" t="str">
        <f t="shared" si="95"/>
        <v/>
      </c>
    </row>
    <row r="615" spans="1:15" ht="20" customHeight="1">
      <c r="A615" s="22" t="str">
        <f t="shared" si="96"/>
        <v/>
      </c>
      <c r="B615" s="23" t="str">
        <f>IF($E615="","",269)</f>
        <v/>
      </c>
      <c r="C615" s="24" t="str">
        <f>IF($E615="","",EDATE(Inputs!$B$9,INT(268/2))+IF(MOD(268,2)=0,0,Inputs!$B$22))</f>
        <v/>
      </c>
      <c r="D615" s="23" t="str">
        <f t="shared" si="97"/>
        <v/>
      </c>
      <c r="E615" s="25" t="str">
        <f t="shared" si="98"/>
        <v/>
      </c>
      <c r="F615" s="25" t="str">
        <f>IF($E615="","",ROUND(MIN(Comparison!$C$5,MAX(0,$E615+$H615)),2))</f>
        <v/>
      </c>
      <c r="G615" s="25" t="str">
        <f>IF($E615="","",ROUND(MIN(Inputs!$B$10,MAX(0,$E615+$H615-$F615)),2))</f>
        <v/>
      </c>
      <c r="H615" s="25" t="str">
        <f>IF($E615="","",ROUND(IF(Inputs!$B$12="Daily Simple Interest",$E615*Inputs!$B$6/Inputs!$B$17*$D615,$E615*Inputs!$B$6/Inputs!$B$19),2))</f>
        <v/>
      </c>
      <c r="I615" s="25" t="str">
        <f t="shared" si="90"/>
        <v/>
      </c>
      <c r="J615" s="25" t="str">
        <f>IF($E615="","",IF($F615+$G615&gt;0,Inputs!$B$11,0))</f>
        <v/>
      </c>
      <c r="K615" s="25" t="str">
        <f t="shared" si="91"/>
        <v/>
      </c>
      <c r="L615" s="25" t="str">
        <f t="shared" si="92"/>
        <v/>
      </c>
      <c r="M615" s="25" t="str">
        <f t="shared" si="93"/>
        <v/>
      </c>
      <c r="N615" s="84" t="str">
        <f t="shared" si="94"/>
        <v/>
      </c>
      <c r="O615" s="23" t="str">
        <f t="shared" si="95"/>
        <v/>
      </c>
    </row>
    <row r="616" spans="1:15" ht="20" customHeight="1">
      <c r="A616" s="22" t="str">
        <f t="shared" si="96"/>
        <v/>
      </c>
      <c r="B616" s="23" t="str">
        <f>IF($E616="","",270)</f>
        <v/>
      </c>
      <c r="C616" s="24" t="str">
        <f>IF($E616="","",EDATE(Inputs!$B$9,INT(269/2))+IF(MOD(269,2)=0,0,Inputs!$B$22))</f>
        <v/>
      </c>
      <c r="D616" s="23" t="str">
        <f t="shared" si="97"/>
        <v/>
      </c>
      <c r="E616" s="25" t="str">
        <f t="shared" si="98"/>
        <v/>
      </c>
      <c r="F616" s="25" t="str">
        <f>IF($E616="","",ROUND(MIN(Comparison!$C$5,MAX(0,$E616+$H616)),2))</f>
        <v/>
      </c>
      <c r="G616" s="25" t="str">
        <f>IF($E616="","",ROUND(MIN(Inputs!$B$10,MAX(0,$E616+$H616-$F616)),2))</f>
        <v/>
      </c>
      <c r="H616" s="25" t="str">
        <f>IF($E616="","",ROUND(IF(Inputs!$B$12="Daily Simple Interest",$E616*Inputs!$B$6/Inputs!$B$17*$D616,$E616*Inputs!$B$6/Inputs!$B$19),2))</f>
        <v/>
      </c>
      <c r="I616" s="25" t="str">
        <f t="shared" si="90"/>
        <v/>
      </c>
      <c r="J616" s="25" t="str">
        <f>IF($E616="","",IF($F616+$G616&gt;0,Inputs!$B$11,0))</f>
        <v/>
      </c>
      <c r="K616" s="25" t="str">
        <f t="shared" si="91"/>
        <v/>
      </c>
      <c r="L616" s="25" t="str">
        <f t="shared" si="92"/>
        <v/>
      </c>
      <c r="M616" s="25" t="str">
        <f t="shared" si="93"/>
        <v/>
      </c>
      <c r="N616" s="84" t="str">
        <f t="shared" si="94"/>
        <v/>
      </c>
      <c r="O616" s="23" t="str">
        <f t="shared" si="95"/>
        <v/>
      </c>
    </row>
    <row r="617" spans="1:15" ht="20" customHeight="1">
      <c r="A617" s="22" t="str">
        <f t="shared" si="96"/>
        <v/>
      </c>
      <c r="B617" s="23" t="str">
        <f>IF($E617="","",271)</f>
        <v/>
      </c>
      <c r="C617" s="24" t="str">
        <f>IF($E617="","",EDATE(Inputs!$B$9,INT(270/2))+IF(MOD(270,2)=0,0,Inputs!$B$22))</f>
        <v/>
      </c>
      <c r="D617" s="23" t="str">
        <f t="shared" si="97"/>
        <v/>
      </c>
      <c r="E617" s="25" t="str">
        <f t="shared" si="98"/>
        <v/>
      </c>
      <c r="F617" s="25" t="str">
        <f>IF($E617="","",ROUND(MIN(Comparison!$C$5,MAX(0,$E617+$H617)),2))</f>
        <v/>
      </c>
      <c r="G617" s="25" t="str">
        <f>IF($E617="","",ROUND(MIN(Inputs!$B$10,MAX(0,$E617+$H617-$F617)),2))</f>
        <v/>
      </c>
      <c r="H617" s="25" t="str">
        <f>IF($E617="","",ROUND(IF(Inputs!$B$12="Daily Simple Interest",$E617*Inputs!$B$6/Inputs!$B$17*$D617,$E617*Inputs!$B$6/Inputs!$B$19),2))</f>
        <v/>
      </c>
      <c r="I617" s="25" t="str">
        <f t="shared" si="90"/>
        <v/>
      </c>
      <c r="J617" s="25" t="str">
        <f>IF($E617="","",IF($F617+$G617&gt;0,Inputs!$B$11,0))</f>
        <v/>
      </c>
      <c r="K617" s="25" t="str">
        <f t="shared" si="91"/>
        <v/>
      </c>
      <c r="L617" s="25" t="str">
        <f t="shared" si="92"/>
        <v/>
      </c>
      <c r="M617" s="25" t="str">
        <f t="shared" si="93"/>
        <v/>
      </c>
      <c r="N617" s="84" t="str">
        <f t="shared" si="94"/>
        <v/>
      </c>
      <c r="O617" s="23" t="str">
        <f t="shared" si="95"/>
        <v/>
      </c>
    </row>
    <row r="618" spans="1:15" ht="20" customHeight="1">
      <c r="A618" s="22" t="str">
        <f t="shared" si="96"/>
        <v/>
      </c>
      <c r="B618" s="23" t="str">
        <f>IF($E618="","",272)</f>
        <v/>
      </c>
      <c r="C618" s="24" t="str">
        <f>IF($E618="","",EDATE(Inputs!$B$9,INT(271/2))+IF(MOD(271,2)=0,0,Inputs!$B$22))</f>
        <v/>
      </c>
      <c r="D618" s="23" t="str">
        <f t="shared" si="97"/>
        <v/>
      </c>
      <c r="E618" s="25" t="str">
        <f t="shared" si="98"/>
        <v/>
      </c>
      <c r="F618" s="25" t="str">
        <f>IF($E618="","",ROUND(MIN(Comparison!$C$5,MAX(0,$E618+$H618)),2))</f>
        <v/>
      </c>
      <c r="G618" s="25" t="str">
        <f>IF($E618="","",ROUND(MIN(Inputs!$B$10,MAX(0,$E618+$H618-$F618)),2))</f>
        <v/>
      </c>
      <c r="H618" s="25" t="str">
        <f>IF($E618="","",ROUND(IF(Inputs!$B$12="Daily Simple Interest",$E618*Inputs!$B$6/Inputs!$B$17*$D618,$E618*Inputs!$B$6/Inputs!$B$19),2))</f>
        <v/>
      </c>
      <c r="I618" s="25" t="str">
        <f t="shared" si="90"/>
        <v/>
      </c>
      <c r="J618" s="25" t="str">
        <f>IF($E618="","",IF($F618+$G618&gt;0,Inputs!$B$11,0))</f>
        <v/>
      </c>
      <c r="K618" s="25" t="str">
        <f t="shared" si="91"/>
        <v/>
      </c>
      <c r="L618" s="25" t="str">
        <f t="shared" si="92"/>
        <v/>
      </c>
      <c r="M618" s="25" t="str">
        <f t="shared" si="93"/>
        <v/>
      </c>
      <c r="N618" s="84" t="str">
        <f t="shared" si="94"/>
        <v/>
      </c>
      <c r="O618" s="23" t="str">
        <f t="shared" si="95"/>
        <v/>
      </c>
    </row>
    <row r="619" spans="1:15" ht="20" customHeight="1">
      <c r="A619" s="22" t="str">
        <f t="shared" si="96"/>
        <v/>
      </c>
      <c r="B619" s="23" t="str">
        <f>IF($E619="","",273)</f>
        <v/>
      </c>
      <c r="C619" s="24" t="str">
        <f>IF($E619="","",EDATE(Inputs!$B$9,INT(272/2))+IF(MOD(272,2)=0,0,Inputs!$B$22))</f>
        <v/>
      </c>
      <c r="D619" s="23" t="str">
        <f t="shared" si="97"/>
        <v/>
      </c>
      <c r="E619" s="25" t="str">
        <f t="shared" si="98"/>
        <v/>
      </c>
      <c r="F619" s="25" t="str">
        <f>IF($E619="","",ROUND(MIN(Comparison!$C$5,MAX(0,$E619+$H619)),2))</f>
        <v/>
      </c>
      <c r="G619" s="25" t="str">
        <f>IF($E619="","",ROUND(MIN(Inputs!$B$10,MAX(0,$E619+$H619-$F619)),2))</f>
        <v/>
      </c>
      <c r="H619" s="25" t="str">
        <f>IF($E619="","",ROUND(IF(Inputs!$B$12="Daily Simple Interest",$E619*Inputs!$B$6/Inputs!$B$17*$D619,$E619*Inputs!$B$6/Inputs!$B$19),2))</f>
        <v/>
      </c>
      <c r="I619" s="25" t="str">
        <f t="shared" si="90"/>
        <v/>
      </c>
      <c r="J619" s="25" t="str">
        <f>IF($E619="","",IF($F619+$G619&gt;0,Inputs!$B$11,0))</f>
        <v/>
      </c>
      <c r="K619" s="25" t="str">
        <f t="shared" si="91"/>
        <v/>
      </c>
      <c r="L619" s="25" t="str">
        <f t="shared" si="92"/>
        <v/>
      </c>
      <c r="M619" s="25" t="str">
        <f t="shared" si="93"/>
        <v/>
      </c>
      <c r="N619" s="84" t="str">
        <f t="shared" si="94"/>
        <v/>
      </c>
      <c r="O619" s="23" t="str">
        <f t="shared" si="95"/>
        <v/>
      </c>
    </row>
    <row r="620" spans="1:15" ht="20" customHeight="1">
      <c r="A620" s="22" t="str">
        <f t="shared" si="96"/>
        <v/>
      </c>
      <c r="B620" s="23" t="str">
        <f>IF($E620="","",274)</f>
        <v/>
      </c>
      <c r="C620" s="24" t="str">
        <f>IF($E620="","",EDATE(Inputs!$B$9,INT(273/2))+IF(MOD(273,2)=0,0,Inputs!$B$22))</f>
        <v/>
      </c>
      <c r="D620" s="23" t="str">
        <f t="shared" si="97"/>
        <v/>
      </c>
      <c r="E620" s="25" t="str">
        <f t="shared" si="98"/>
        <v/>
      </c>
      <c r="F620" s="25" t="str">
        <f>IF($E620="","",ROUND(MIN(Comparison!$C$5,MAX(0,$E620+$H620)),2))</f>
        <v/>
      </c>
      <c r="G620" s="25" t="str">
        <f>IF($E620="","",ROUND(MIN(Inputs!$B$10,MAX(0,$E620+$H620-$F620)),2))</f>
        <v/>
      </c>
      <c r="H620" s="25" t="str">
        <f>IF($E620="","",ROUND(IF(Inputs!$B$12="Daily Simple Interest",$E620*Inputs!$B$6/Inputs!$B$17*$D620,$E620*Inputs!$B$6/Inputs!$B$19),2))</f>
        <v/>
      </c>
      <c r="I620" s="25" t="str">
        <f t="shared" si="90"/>
        <v/>
      </c>
      <c r="J620" s="25" t="str">
        <f>IF($E620="","",IF($F620+$G620&gt;0,Inputs!$B$11,0))</f>
        <v/>
      </c>
      <c r="K620" s="25" t="str">
        <f t="shared" si="91"/>
        <v/>
      </c>
      <c r="L620" s="25" t="str">
        <f t="shared" si="92"/>
        <v/>
      </c>
      <c r="M620" s="25" t="str">
        <f t="shared" si="93"/>
        <v/>
      </c>
      <c r="N620" s="84" t="str">
        <f t="shared" si="94"/>
        <v/>
      </c>
      <c r="O620" s="23" t="str">
        <f t="shared" si="95"/>
        <v/>
      </c>
    </row>
    <row r="621" spans="1:15" ht="20" customHeight="1">
      <c r="A621" s="22" t="str">
        <f t="shared" si="96"/>
        <v/>
      </c>
      <c r="B621" s="23" t="str">
        <f>IF($E621="","",275)</f>
        <v/>
      </c>
      <c r="C621" s="24" t="str">
        <f>IF($E621="","",EDATE(Inputs!$B$9,INT(274/2))+IF(MOD(274,2)=0,0,Inputs!$B$22))</f>
        <v/>
      </c>
      <c r="D621" s="23" t="str">
        <f t="shared" si="97"/>
        <v/>
      </c>
      <c r="E621" s="25" t="str">
        <f t="shared" si="98"/>
        <v/>
      </c>
      <c r="F621" s="25" t="str">
        <f>IF($E621="","",ROUND(MIN(Comparison!$C$5,MAX(0,$E621+$H621)),2))</f>
        <v/>
      </c>
      <c r="G621" s="25" t="str">
        <f>IF($E621="","",ROUND(MIN(Inputs!$B$10,MAX(0,$E621+$H621-$F621)),2))</f>
        <v/>
      </c>
      <c r="H621" s="25" t="str">
        <f>IF($E621="","",ROUND(IF(Inputs!$B$12="Daily Simple Interest",$E621*Inputs!$B$6/Inputs!$B$17*$D621,$E621*Inputs!$B$6/Inputs!$B$19),2))</f>
        <v/>
      </c>
      <c r="I621" s="25" t="str">
        <f t="shared" si="90"/>
        <v/>
      </c>
      <c r="J621" s="25" t="str">
        <f>IF($E621="","",IF($F621+$G621&gt;0,Inputs!$B$11,0))</f>
        <v/>
      </c>
      <c r="K621" s="25" t="str">
        <f t="shared" si="91"/>
        <v/>
      </c>
      <c r="L621" s="25" t="str">
        <f t="shared" si="92"/>
        <v/>
      </c>
      <c r="M621" s="25" t="str">
        <f t="shared" si="93"/>
        <v/>
      </c>
      <c r="N621" s="84" t="str">
        <f t="shared" si="94"/>
        <v/>
      </c>
      <c r="O621" s="23" t="str">
        <f t="shared" si="95"/>
        <v/>
      </c>
    </row>
    <row r="622" spans="1:15" ht="20" customHeight="1">
      <c r="A622" s="22" t="str">
        <f t="shared" si="96"/>
        <v/>
      </c>
      <c r="B622" s="23" t="str">
        <f>IF($E622="","",276)</f>
        <v/>
      </c>
      <c r="C622" s="24" t="str">
        <f>IF($E622="","",EDATE(Inputs!$B$9,INT(275/2))+IF(MOD(275,2)=0,0,Inputs!$B$22))</f>
        <v/>
      </c>
      <c r="D622" s="23" t="str">
        <f t="shared" si="97"/>
        <v/>
      </c>
      <c r="E622" s="25" t="str">
        <f t="shared" si="98"/>
        <v/>
      </c>
      <c r="F622" s="25" t="str">
        <f>IF($E622="","",ROUND(MIN(Comparison!$C$5,MAX(0,$E622+$H622)),2))</f>
        <v/>
      </c>
      <c r="G622" s="25" t="str">
        <f>IF($E622="","",ROUND(MIN(Inputs!$B$10,MAX(0,$E622+$H622-$F622)),2))</f>
        <v/>
      </c>
      <c r="H622" s="25" t="str">
        <f>IF($E622="","",ROUND(IF(Inputs!$B$12="Daily Simple Interest",$E622*Inputs!$B$6/Inputs!$B$17*$D622,$E622*Inputs!$B$6/Inputs!$B$19),2))</f>
        <v/>
      </c>
      <c r="I622" s="25" t="str">
        <f t="shared" si="90"/>
        <v/>
      </c>
      <c r="J622" s="25" t="str">
        <f>IF($E622="","",IF($F622+$G622&gt;0,Inputs!$B$11,0))</f>
        <v/>
      </c>
      <c r="K622" s="25" t="str">
        <f t="shared" si="91"/>
        <v/>
      </c>
      <c r="L622" s="25" t="str">
        <f t="shared" si="92"/>
        <v/>
      </c>
      <c r="M622" s="25" t="str">
        <f t="shared" si="93"/>
        <v/>
      </c>
      <c r="N622" s="84" t="str">
        <f t="shared" si="94"/>
        <v/>
      </c>
      <c r="O622" s="23" t="str">
        <f t="shared" si="95"/>
        <v/>
      </c>
    </row>
    <row r="623" spans="1:15" ht="20" customHeight="1">
      <c r="A623" s="22" t="str">
        <f t="shared" si="96"/>
        <v/>
      </c>
      <c r="B623" s="23" t="str">
        <f>IF($E623="","",277)</f>
        <v/>
      </c>
      <c r="C623" s="24" t="str">
        <f>IF($E623="","",EDATE(Inputs!$B$9,INT(276/2))+IF(MOD(276,2)=0,0,Inputs!$B$22))</f>
        <v/>
      </c>
      <c r="D623" s="23" t="str">
        <f t="shared" si="97"/>
        <v/>
      </c>
      <c r="E623" s="25" t="str">
        <f t="shared" si="98"/>
        <v/>
      </c>
      <c r="F623" s="25" t="str">
        <f>IF($E623="","",ROUND(MIN(Comparison!$C$5,MAX(0,$E623+$H623)),2))</f>
        <v/>
      </c>
      <c r="G623" s="25" t="str">
        <f>IF($E623="","",ROUND(MIN(Inputs!$B$10,MAX(0,$E623+$H623-$F623)),2))</f>
        <v/>
      </c>
      <c r="H623" s="25" t="str">
        <f>IF($E623="","",ROUND(IF(Inputs!$B$12="Daily Simple Interest",$E623*Inputs!$B$6/Inputs!$B$17*$D623,$E623*Inputs!$B$6/Inputs!$B$19),2))</f>
        <v/>
      </c>
      <c r="I623" s="25" t="str">
        <f t="shared" si="90"/>
        <v/>
      </c>
      <c r="J623" s="25" t="str">
        <f>IF($E623="","",IF($F623+$G623&gt;0,Inputs!$B$11,0))</f>
        <v/>
      </c>
      <c r="K623" s="25" t="str">
        <f t="shared" si="91"/>
        <v/>
      </c>
      <c r="L623" s="25" t="str">
        <f t="shared" si="92"/>
        <v/>
      </c>
      <c r="M623" s="25" t="str">
        <f t="shared" si="93"/>
        <v/>
      </c>
      <c r="N623" s="84" t="str">
        <f t="shared" si="94"/>
        <v/>
      </c>
      <c r="O623" s="23" t="str">
        <f t="shared" si="95"/>
        <v/>
      </c>
    </row>
    <row r="624" spans="1:15" ht="20" customHeight="1">
      <c r="A624" s="22" t="str">
        <f t="shared" si="96"/>
        <v/>
      </c>
      <c r="B624" s="23" t="str">
        <f>IF($E624="","",278)</f>
        <v/>
      </c>
      <c r="C624" s="24" t="str">
        <f>IF($E624="","",EDATE(Inputs!$B$9,INT(277/2))+IF(MOD(277,2)=0,0,Inputs!$B$22))</f>
        <v/>
      </c>
      <c r="D624" s="23" t="str">
        <f t="shared" si="97"/>
        <v/>
      </c>
      <c r="E624" s="25" t="str">
        <f t="shared" si="98"/>
        <v/>
      </c>
      <c r="F624" s="25" t="str">
        <f>IF($E624="","",ROUND(MIN(Comparison!$C$5,MAX(0,$E624+$H624)),2))</f>
        <v/>
      </c>
      <c r="G624" s="25" t="str">
        <f>IF($E624="","",ROUND(MIN(Inputs!$B$10,MAX(0,$E624+$H624-$F624)),2))</f>
        <v/>
      </c>
      <c r="H624" s="25" t="str">
        <f>IF($E624="","",ROUND(IF(Inputs!$B$12="Daily Simple Interest",$E624*Inputs!$B$6/Inputs!$B$17*$D624,$E624*Inputs!$B$6/Inputs!$B$19),2))</f>
        <v/>
      </c>
      <c r="I624" s="25" t="str">
        <f t="shared" si="90"/>
        <v/>
      </c>
      <c r="J624" s="25" t="str">
        <f>IF($E624="","",IF($F624+$G624&gt;0,Inputs!$B$11,0))</f>
        <v/>
      </c>
      <c r="K624" s="25" t="str">
        <f t="shared" si="91"/>
        <v/>
      </c>
      <c r="L624" s="25" t="str">
        <f t="shared" si="92"/>
        <v/>
      </c>
      <c r="M624" s="25" t="str">
        <f t="shared" si="93"/>
        <v/>
      </c>
      <c r="N624" s="84" t="str">
        <f t="shared" si="94"/>
        <v/>
      </c>
      <c r="O624" s="23" t="str">
        <f t="shared" si="95"/>
        <v/>
      </c>
    </row>
    <row r="625" spans="1:15" ht="20" customHeight="1">
      <c r="A625" s="22" t="str">
        <f t="shared" si="96"/>
        <v/>
      </c>
      <c r="B625" s="23" t="str">
        <f>IF($E625="","",279)</f>
        <v/>
      </c>
      <c r="C625" s="24" t="str">
        <f>IF($E625="","",EDATE(Inputs!$B$9,INT(278/2))+IF(MOD(278,2)=0,0,Inputs!$B$22))</f>
        <v/>
      </c>
      <c r="D625" s="23" t="str">
        <f t="shared" si="97"/>
        <v/>
      </c>
      <c r="E625" s="25" t="str">
        <f t="shared" si="98"/>
        <v/>
      </c>
      <c r="F625" s="25" t="str">
        <f>IF($E625="","",ROUND(MIN(Comparison!$C$5,MAX(0,$E625+$H625)),2))</f>
        <v/>
      </c>
      <c r="G625" s="25" t="str">
        <f>IF($E625="","",ROUND(MIN(Inputs!$B$10,MAX(0,$E625+$H625-$F625)),2))</f>
        <v/>
      </c>
      <c r="H625" s="25" t="str">
        <f>IF($E625="","",ROUND(IF(Inputs!$B$12="Daily Simple Interest",$E625*Inputs!$B$6/Inputs!$B$17*$D625,$E625*Inputs!$B$6/Inputs!$B$19),2))</f>
        <v/>
      </c>
      <c r="I625" s="25" t="str">
        <f t="shared" si="90"/>
        <v/>
      </c>
      <c r="J625" s="25" t="str">
        <f>IF($E625="","",IF($F625+$G625&gt;0,Inputs!$B$11,0))</f>
        <v/>
      </c>
      <c r="K625" s="25" t="str">
        <f t="shared" si="91"/>
        <v/>
      </c>
      <c r="L625" s="25" t="str">
        <f t="shared" si="92"/>
        <v/>
      </c>
      <c r="M625" s="25" t="str">
        <f t="shared" si="93"/>
        <v/>
      </c>
      <c r="N625" s="84" t="str">
        <f t="shared" si="94"/>
        <v/>
      </c>
      <c r="O625" s="23" t="str">
        <f t="shared" si="95"/>
        <v/>
      </c>
    </row>
    <row r="626" spans="1:15" ht="20" customHeight="1">
      <c r="A626" s="22" t="str">
        <f t="shared" si="96"/>
        <v/>
      </c>
      <c r="B626" s="23" t="str">
        <f>IF($E626="","",280)</f>
        <v/>
      </c>
      <c r="C626" s="24" t="str">
        <f>IF($E626="","",EDATE(Inputs!$B$9,INT(279/2))+IF(MOD(279,2)=0,0,Inputs!$B$22))</f>
        <v/>
      </c>
      <c r="D626" s="23" t="str">
        <f t="shared" si="97"/>
        <v/>
      </c>
      <c r="E626" s="25" t="str">
        <f t="shared" si="98"/>
        <v/>
      </c>
      <c r="F626" s="25" t="str">
        <f>IF($E626="","",ROUND(MIN(Comparison!$C$5,MAX(0,$E626+$H626)),2))</f>
        <v/>
      </c>
      <c r="G626" s="25" t="str">
        <f>IF($E626="","",ROUND(MIN(Inputs!$B$10,MAX(0,$E626+$H626-$F626)),2))</f>
        <v/>
      </c>
      <c r="H626" s="25" t="str">
        <f>IF($E626="","",ROUND(IF(Inputs!$B$12="Daily Simple Interest",$E626*Inputs!$B$6/Inputs!$B$17*$D626,$E626*Inputs!$B$6/Inputs!$B$19),2))</f>
        <v/>
      </c>
      <c r="I626" s="25" t="str">
        <f t="shared" si="90"/>
        <v/>
      </c>
      <c r="J626" s="25" t="str">
        <f>IF($E626="","",IF($F626+$G626&gt;0,Inputs!$B$11,0))</f>
        <v/>
      </c>
      <c r="K626" s="25" t="str">
        <f t="shared" si="91"/>
        <v/>
      </c>
      <c r="L626" s="25" t="str">
        <f t="shared" si="92"/>
        <v/>
      </c>
      <c r="M626" s="25" t="str">
        <f t="shared" si="93"/>
        <v/>
      </c>
      <c r="N626" s="84" t="str">
        <f t="shared" si="94"/>
        <v/>
      </c>
      <c r="O626" s="23" t="str">
        <f t="shared" si="95"/>
        <v/>
      </c>
    </row>
    <row r="627" spans="1:15" ht="20" customHeight="1">
      <c r="A627" s="22" t="str">
        <f t="shared" si="96"/>
        <v/>
      </c>
      <c r="B627" s="23" t="str">
        <f>IF($E627="","",281)</f>
        <v/>
      </c>
      <c r="C627" s="24" t="str">
        <f>IF($E627="","",EDATE(Inputs!$B$9,INT(280/2))+IF(MOD(280,2)=0,0,Inputs!$B$22))</f>
        <v/>
      </c>
      <c r="D627" s="23" t="str">
        <f t="shared" si="97"/>
        <v/>
      </c>
      <c r="E627" s="25" t="str">
        <f t="shared" si="98"/>
        <v/>
      </c>
      <c r="F627" s="25" t="str">
        <f>IF($E627="","",ROUND(MIN(Comparison!$C$5,MAX(0,$E627+$H627)),2))</f>
        <v/>
      </c>
      <c r="G627" s="25" t="str">
        <f>IF($E627="","",ROUND(MIN(Inputs!$B$10,MAX(0,$E627+$H627-$F627)),2))</f>
        <v/>
      </c>
      <c r="H627" s="25" t="str">
        <f>IF($E627="","",ROUND(IF(Inputs!$B$12="Daily Simple Interest",$E627*Inputs!$B$6/Inputs!$B$17*$D627,$E627*Inputs!$B$6/Inputs!$B$19),2))</f>
        <v/>
      </c>
      <c r="I627" s="25" t="str">
        <f t="shared" si="90"/>
        <v/>
      </c>
      <c r="J627" s="25" t="str">
        <f>IF($E627="","",IF($F627+$G627&gt;0,Inputs!$B$11,0))</f>
        <v/>
      </c>
      <c r="K627" s="25" t="str">
        <f t="shared" si="91"/>
        <v/>
      </c>
      <c r="L627" s="25" t="str">
        <f t="shared" si="92"/>
        <v/>
      </c>
      <c r="M627" s="25" t="str">
        <f t="shared" si="93"/>
        <v/>
      </c>
      <c r="N627" s="84" t="str">
        <f t="shared" si="94"/>
        <v/>
      </c>
      <c r="O627" s="23" t="str">
        <f t="shared" si="95"/>
        <v/>
      </c>
    </row>
    <row r="628" spans="1:15" ht="20" customHeight="1">
      <c r="A628" s="22" t="str">
        <f t="shared" si="96"/>
        <v/>
      </c>
      <c r="B628" s="23" t="str">
        <f>IF($E628="","",282)</f>
        <v/>
      </c>
      <c r="C628" s="24" t="str">
        <f>IF($E628="","",EDATE(Inputs!$B$9,INT(281/2))+IF(MOD(281,2)=0,0,Inputs!$B$22))</f>
        <v/>
      </c>
      <c r="D628" s="23" t="str">
        <f t="shared" si="97"/>
        <v/>
      </c>
      <c r="E628" s="25" t="str">
        <f t="shared" si="98"/>
        <v/>
      </c>
      <c r="F628" s="25" t="str">
        <f>IF($E628="","",ROUND(MIN(Comparison!$C$5,MAX(0,$E628+$H628)),2))</f>
        <v/>
      </c>
      <c r="G628" s="25" t="str">
        <f>IF($E628="","",ROUND(MIN(Inputs!$B$10,MAX(0,$E628+$H628-$F628)),2))</f>
        <v/>
      </c>
      <c r="H628" s="25" t="str">
        <f>IF($E628="","",ROUND(IF(Inputs!$B$12="Daily Simple Interest",$E628*Inputs!$B$6/Inputs!$B$17*$D628,$E628*Inputs!$B$6/Inputs!$B$19),2))</f>
        <v/>
      </c>
      <c r="I628" s="25" t="str">
        <f t="shared" si="90"/>
        <v/>
      </c>
      <c r="J628" s="25" t="str">
        <f>IF($E628="","",IF($F628+$G628&gt;0,Inputs!$B$11,0))</f>
        <v/>
      </c>
      <c r="K628" s="25" t="str">
        <f t="shared" si="91"/>
        <v/>
      </c>
      <c r="L628" s="25" t="str">
        <f t="shared" si="92"/>
        <v/>
      </c>
      <c r="M628" s="25" t="str">
        <f t="shared" si="93"/>
        <v/>
      </c>
      <c r="N628" s="84" t="str">
        <f t="shared" si="94"/>
        <v/>
      </c>
      <c r="O628" s="23" t="str">
        <f t="shared" si="95"/>
        <v/>
      </c>
    </row>
    <row r="629" spans="1:15" ht="20" customHeight="1">
      <c r="A629" s="22" t="str">
        <f t="shared" si="96"/>
        <v/>
      </c>
      <c r="B629" s="23" t="str">
        <f>IF($E629="","",283)</f>
        <v/>
      </c>
      <c r="C629" s="24" t="str">
        <f>IF($E629="","",EDATE(Inputs!$B$9,INT(282/2))+IF(MOD(282,2)=0,0,Inputs!$B$22))</f>
        <v/>
      </c>
      <c r="D629" s="23" t="str">
        <f t="shared" si="97"/>
        <v/>
      </c>
      <c r="E629" s="25" t="str">
        <f t="shared" si="98"/>
        <v/>
      </c>
      <c r="F629" s="25" t="str">
        <f>IF($E629="","",ROUND(MIN(Comparison!$C$5,MAX(0,$E629+$H629)),2))</f>
        <v/>
      </c>
      <c r="G629" s="25" t="str">
        <f>IF($E629="","",ROUND(MIN(Inputs!$B$10,MAX(0,$E629+$H629-$F629)),2))</f>
        <v/>
      </c>
      <c r="H629" s="25" t="str">
        <f>IF($E629="","",ROUND(IF(Inputs!$B$12="Daily Simple Interest",$E629*Inputs!$B$6/Inputs!$B$17*$D629,$E629*Inputs!$B$6/Inputs!$B$19),2))</f>
        <v/>
      </c>
      <c r="I629" s="25" t="str">
        <f t="shared" si="90"/>
        <v/>
      </c>
      <c r="J629" s="25" t="str">
        <f>IF($E629="","",IF($F629+$G629&gt;0,Inputs!$B$11,0))</f>
        <v/>
      </c>
      <c r="K629" s="25" t="str">
        <f t="shared" si="91"/>
        <v/>
      </c>
      <c r="L629" s="25" t="str">
        <f t="shared" si="92"/>
        <v/>
      </c>
      <c r="M629" s="25" t="str">
        <f t="shared" si="93"/>
        <v/>
      </c>
      <c r="N629" s="84" t="str">
        <f t="shared" si="94"/>
        <v/>
      </c>
      <c r="O629" s="23" t="str">
        <f t="shared" si="95"/>
        <v/>
      </c>
    </row>
    <row r="630" spans="1:15" ht="20" customHeight="1">
      <c r="A630" s="22" t="str">
        <f t="shared" si="96"/>
        <v/>
      </c>
      <c r="B630" s="23" t="str">
        <f>IF($E630="","",284)</f>
        <v/>
      </c>
      <c r="C630" s="24" t="str">
        <f>IF($E630="","",EDATE(Inputs!$B$9,INT(283/2))+IF(MOD(283,2)=0,0,Inputs!$B$22))</f>
        <v/>
      </c>
      <c r="D630" s="23" t="str">
        <f t="shared" si="97"/>
        <v/>
      </c>
      <c r="E630" s="25" t="str">
        <f t="shared" si="98"/>
        <v/>
      </c>
      <c r="F630" s="25" t="str">
        <f>IF($E630="","",ROUND(MIN(Comparison!$C$5,MAX(0,$E630+$H630)),2))</f>
        <v/>
      </c>
      <c r="G630" s="25" t="str">
        <f>IF($E630="","",ROUND(MIN(Inputs!$B$10,MAX(0,$E630+$H630-$F630)),2))</f>
        <v/>
      </c>
      <c r="H630" s="25" t="str">
        <f>IF($E630="","",ROUND(IF(Inputs!$B$12="Daily Simple Interest",$E630*Inputs!$B$6/Inputs!$B$17*$D630,$E630*Inputs!$B$6/Inputs!$B$19),2))</f>
        <v/>
      </c>
      <c r="I630" s="25" t="str">
        <f t="shared" si="90"/>
        <v/>
      </c>
      <c r="J630" s="25" t="str">
        <f>IF($E630="","",IF($F630+$G630&gt;0,Inputs!$B$11,0))</f>
        <v/>
      </c>
      <c r="K630" s="25" t="str">
        <f t="shared" si="91"/>
        <v/>
      </c>
      <c r="L630" s="25" t="str">
        <f t="shared" si="92"/>
        <v/>
      </c>
      <c r="M630" s="25" t="str">
        <f t="shared" si="93"/>
        <v/>
      </c>
      <c r="N630" s="84" t="str">
        <f t="shared" si="94"/>
        <v/>
      </c>
      <c r="O630" s="23" t="str">
        <f t="shared" si="95"/>
        <v/>
      </c>
    </row>
    <row r="631" spans="1:15" ht="20" customHeight="1">
      <c r="A631" s="22" t="str">
        <f t="shared" si="96"/>
        <v/>
      </c>
      <c r="B631" s="23" t="str">
        <f>IF($E631="","",285)</f>
        <v/>
      </c>
      <c r="C631" s="24" t="str">
        <f>IF($E631="","",EDATE(Inputs!$B$9,INT(284/2))+IF(MOD(284,2)=0,0,Inputs!$B$22))</f>
        <v/>
      </c>
      <c r="D631" s="23" t="str">
        <f t="shared" si="97"/>
        <v/>
      </c>
      <c r="E631" s="25" t="str">
        <f t="shared" si="98"/>
        <v/>
      </c>
      <c r="F631" s="25" t="str">
        <f>IF($E631="","",ROUND(MIN(Comparison!$C$5,MAX(0,$E631+$H631)),2))</f>
        <v/>
      </c>
      <c r="G631" s="25" t="str">
        <f>IF($E631="","",ROUND(MIN(Inputs!$B$10,MAX(0,$E631+$H631-$F631)),2))</f>
        <v/>
      </c>
      <c r="H631" s="25" t="str">
        <f>IF($E631="","",ROUND(IF(Inputs!$B$12="Daily Simple Interest",$E631*Inputs!$B$6/Inputs!$B$17*$D631,$E631*Inputs!$B$6/Inputs!$B$19),2))</f>
        <v/>
      </c>
      <c r="I631" s="25" t="str">
        <f t="shared" si="90"/>
        <v/>
      </c>
      <c r="J631" s="25" t="str">
        <f>IF($E631="","",IF($F631+$G631&gt;0,Inputs!$B$11,0))</f>
        <v/>
      </c>
      <c r="K631" s="25" t="str">
        <f t="shared" si="91"/>
        <v/>
      </c>
      <c r="L631" s="25" t="str">
        <f t="shared" si="92"/>
        <v/>
      </c>
      <c r="M631" s="25" t="str">
        <f t="shared" si="93"/>
        <v/>
      </c>
      <c r="N631" s="84" t="str">
        <f t="shared" si="94"/>
        <v/>
      </c>
      <c r="O631" s="23" t="str">
        <f t="shared" si="95"/>
        <v/>
      </c>
    </row>
    <row r="632" spans="1:15" ht="20" customHeight="1">
      <c r="A632" s="22" t="str">
        <f t="shared" si="96"/>
        <v/>
      </c>
      <c r="B632" s="23" t="str">
        <f>IF($E632="","",286)</f>
        <v/>
      </c>
      <c r="C632" s="24" t="str">
        <f>IF($E632="","",EDATE(Inputs!$B$9,INT(285/2))+IF(MOD(285,2)=0,0,Inputs!$B$22))</f>
        <v/>
      </c>
      <c r="D632" s="23" t="str">
        <f t="shared" si="97"/>
        <v/>
      </c>
      <c r="E632" s="25" t="str">
        <f t="shared" si="98"/>
        <v/>
      </c>
      <c r="F632" s="25" t="str">
        <f>IF($E632="","",ROUND(MIN(Comparison!$C$5,MAX(0,$E632+$H632)),2))</f>
        <v/>
      </c>
      <c r="G632" s="25" t="str">
        <f>IF($E632="","",ROUND(MIN(Inputs!$B$10,MAX(0,$E632+$H632-$F632)),2))</f>
        <v/>
      </c>
      <c r="H632" s="25" t="str">
        <f>IF($E632="","",ROUND(IF(Inputs!$B$12="Daily Simple Interest",$E632*Inputs!$B$6/Inputs!$B$17*$D632,$E632*Inputs!$B$6/Inputs!$B$19),2))</f>
        <v/>
      </c>
      <c r="I632" s="25" t="str">
        <f t="shared" si="90"/>
        <v/>
      </c>
      <c r="J632" s="25" t="str">
        <f>IF($E632="","",IF($F632+$G632&gt;0,Inputs!$B$11,0))</f>
        <v/>
      </c>
      <c r="K632" s="25" t="str">
        <f t="shared" si="91"/>
        <v/>
      </c>
      <c r="L632" s="25" t="str">
        <f t="shared" si="92"/>
        <v/>
      </c>
      <c r="M632" s="25" t="str">
        <f t="shared" si="93"/>
        <v/>
      </c>
      <c r="N632" s="84" t="str">
        <f t="shared" si="94"/>
        <v/>
      </c>
      <c r="O632" s="23" t="str">
        <f t="shared" si="95"/>
        <v/>
      </c>
    </row>
    <row r="633" spans="1:15" ht="20" customHeight="1">
      <c r="A633" s="22" t="str">
        <f t="shared" si="96"/>
        <v/>
      </c>
      <c r="B633" s="23" t="str">
        <f>IF($E633="","",287)</f>
        <v/>
      </c>
      <c r="C633" s="24" t="str">
        <f>IF($E633="","",EDATE(Inputs!$B$9,INT(286/2))+IF(MOD(286,2)=0,0,Inputs!$B$22))</f>
        <v/>
      </c>
      <c r="D633" s="23" t="str">
        <f t="shared" si="97"/>
        <v/>
      </c>
      <c r="E633" s="25" t="str">
        <f t="shared" si="98"/>
        <v/>
      </c>
      <c r="F633" s="25" t="str">
        <f>IF($E633="","",ROUND(MIN(Comparison!$C$5,MAX(0,$E633+$H633)),2))</f>
        <v/>
      </c>
      <c r="G633" s="25" t="str">
        <f>IF($E633="","",ROUND(MIN(Inputs!$B$10,MAX(0,$E633+$H633-$F633)),2))</f>
        <v/>
      </c>
      <c r="H633" s="25" t="str">
        <f>IF($E633="","",ROUND(IF(Inputs!$B$12="Daily Simple Interest",$E633*Inputs!$B$6/Inputs!$B$17*$D633,$E633*Inputs!$B$6/Inputs!$B$19),2))</f>
        <v/>
      </c>
      <c r="I633" s="25" t="str">
        <f t="shared" si="90"/>
        <v/>
      </c>
      <c r="J633" s="25" t="str">
        <f>IF($E633="","",IF($F633+$G633&gt;0,Inputs!$B$11,0))</f>
        <v/>
      </c>
      <c r="K633" s="25" t="str">
        <f t="shared" si="91"/>
        <v/>
      </c>
      <c r="L633" s="25" t="str">
        <f t="shared" si="92"/>
        <v/>
      </c>
      <c r="M633" s="25" t="str">
        <f t="shared" si="93"/>
        <v/>
      </c>
      <c r="N633" s="84" t="str">
        <f t="shared" si="94"/>
        <v/>
      </c>
      <c r="O633" s="23" t="str">
        <f t="shared" si="95"/>
        <v/>
      </c>
    </row>
    <row r="634" spans="1:15" ht="20" customHeight="1">
      <c r="A634" s="22" t="str">
        <f t="shared" si="96"/>
        <v/>
      </c>
      <c r="B634" s="23" t="str">
        <f>IF($E634="","",288)</f>
        <v/>
      </c>
      <c r="C634" s="24" t="str">
        <f>IF($E634="","",EDATE(Inputs!$B$9,INT(287/2))+IF(MOD(287,2)=0,0,Inputs!$B$22))</f>
        <v/>
      </c>
      <c r="D634" s="23" t="str">
        <f t="shared" si="97"/>
        <v/>
      </c>
      <c r="E634" s="25" t="str">
        <f t="shared" si="98"/>
        <v/>
      </c>
      <c r="F634" s="25" t="str">
        <f>IF($E634="","",ROUND(MIN(Comparison!$C$5,MAX(0,$E634+$H634)),2))</f>
        <v/>
      </c>
      <c r="G634" s="25" t="str">
        <f>IF($E634="","",ROUND(MIN(Inputs!$B$10,MAX(0,$E634+$H634-$F634)),2))</f>
        <v/>
      </c>
      <c r="H634" s="25" t="str">
        <f>IF($E634="","",ROUND(IF(Inputs!$B$12="Daily Simple Interest",$E634*Inputs!$B$6/Inputs!$B$17*$D634,$E634*Inputs!$B$6/Inputs!$B$19),2))</f>
        <v/>
      </c>
      <c r="I634" s="25" t="str">
        <f t="shared" si="90"/>
        <v/>
      </c>
      <c r="J634" s="25" t="str">
        <f>IF($E634="","",IF($F634+$G634&gt;0,Inputs!$B$11,0))</f>
        <v/>
      </c>
      <c r="K634" s="25" t="str">
        <f t="shared" si="91"/>
        <v/>
      </c>
      <c r="L634" s="25" t="str">
        <f t="shared" si="92"/>
        <v/>
      </c>
      <c r="M634" s="25" t="str">
        <f t="shared" si="93"/>
        <v/>
      </c>
      <c r="N634" s="84" t="str">
        <f t="shared" si="94"/>
        <v/>
      </c>
      <c r="O634" s="23" t="str">
        <f t="shared" si="95"/>
        <v/>
      </c>
    </row>
    <row r="635" spans="1:15" ht="20" customHeight="1">
      <c r="A635" s="22" t="str">
        <f t="shared" si="96"/>
        <v/>
      </c>
      <c r="B635" s="23" t="str">
        <f>IF($E635="","",289)</f>
        <v/>
      </c>
      <c r="C635" s="24" t="str">
        <f>IF($E635="","",EDATE(Inputs!$B$9,INT(288/2))+IF(MOD(288,2)=0,0,Inputs!$B$22))</f>
        <v/>
      </c>
      <c r="D635" s="23" t="str">
        <f t="shared" si="97"/>
        <v/>
      </c>
      <c r="E635" s="25" t="str">
        <f t="shared" si="98"/>
        <v/>
      </c>
      <c r="F635" s="25" t="str">
        <f>IF($E635="","",ROUND(MIN(Comparison!$C$5,MAX(0,$E635+$H635)),2))</f>
        <v/>
      </c>
      <c r="G635" s="25" t="str">
        <f>IF($E635="","",ROUND(MIN(Inputs!$B$10,MAX(0,$E635+$H635-$F635)),2))</f>
        <v/>
      </c>
      <c r="H635" s="25" t="str">
        <f>IF($E635="","",ROUND(IF(Inputs!$B$12="Daily Simple Interest",$E635*Inputs!$B$6/Inputs!$B$17*$D635,$E635*Inputs!$B$6/Inputs!$B$19),2))</f>
        <v/>
      </c>
      <c r="I635" s="25" t="str">
        <f t="shared" si="90"/>
        <v/>
      </c>
      <c r="J635" s="25" t="str">
        <f>IF($E635="","",IF($F635+$G635&gt;0,Inputs!$B$11,0))</f>
        <v/>
      </c>
      <c r="K635" s="25" t="str">
        <f t="shared" si="91"/>
        <v/>
      </c>
      <c r="L635" s="25" t="str">
        <f t="shared" si="92"/>
        <v/>
      </c>
      <c r="M635" s="25" t="str">
        <f t="shared" si="93"/>
        <v/>
      </c>
      <c r="N635" s="84" t="str">
        <f t="shared" si="94"/>
        <v/>
      </c>
      <c r="O635" s="23" t="str">
        <f t="shared" si="95"/>
        <v/>
      </c>
    </row>
    <row r="636" spans="1:15" ht="20" customHeight="1">
      <c r="A636" s="22" t="str">
        <f t="shared" si="96"/>
        <v/>
      </c>
      <c r="B636" s="23" t="str">
        <f>IF($E636="","",290)</f>
        <v/>
      </c>
      <c r="C636" s="24" t="str">
        <f>IF($E636="","",EDATE(Inputs!$B$9,INT(289/2))+IF(MOD(289,2)=0,0,Inputs!$B$22))</f>
        <v/>
      </c>
      <c r="D636" s="23" t="str">
        <f t="shared" si="97"/>
        <v/>
      </c>
      <c r="E636" s="25" t="str">
        <f t="shared" si="98"/>
        <v/>
      </c>
      <c r="F636" s="25" t="str">
        <f>IF($E636="","",ROUND(MIN(Comparison!$C$5,MAX(0,$E636+$H636)),2))</f>
        <v/>
      </c>
      <c r="G636" s="25" t="str">
        <f>IF($E636="","",ROUND(MIN(Inputs!$B$10,MAX(0,$E636+$H636-$F636)),2))</f>
        <v/>
      </c>
      <c r="H636" s="25" t="str">
        <f>IF($E636="","",ROUND(IF(Inputs!$B$12="Daily Simple Interest",$E636*Inputs!$B$6/Inputs!$B$17*$D636,$E636*Inputs!$B$6/Inputs!$B$19),2))</f>
        <v/>
      </c>
      <c r="I636" s="25" t="str">
        <f t="shared" si="90"/>
        <v/>
      </c>
      <c r="J636" s="25" t="str">
        <f>IF($E636="","",IF($F636+$G636&gt;0,Inputs!$B$11,0))</f>
        <v/>
      </c>
      <c r="K636" s="25" t="str">
        <f t="shared" si="91"/>
        <v/>
      </c>
      <c r="L636" s="25" t="str">
        <f t="shared" si="92"/>
        <v/>
      </c>
      <c r="M636" s="25" t="str">
        <f t="shared" si="93"/>
        <v/>
      </c>
      <c r="N636" s="84" t="str">
        <f t="shared" si="94"/>
        <v/>
      </c>
      <c r="O636" s="23" t="str">
        <f t="shared" si="95"/>
        <v/>
      </c>
    </row>
    <row r="637" spans="1:15" ht="20" customHeight="1">
      <c r="A637" s="22" t="str">
        <f t="shared" si="96"/>
        <v/>
      </c>
      <c r="B637" s="23" t="str">
        <f>IF($E637="","",291)</f>
        <v/>
      </c>
      <c r="C637" s="24" t="str">
        <f>IF($E637="","",EDATE(Inputs!$B$9,INT(290/2))+IF(MOD(290,2)=0,0,Inputs!$B$22))</f>
        <v/>
      </c>
      <c r="D637" s="23" t="str">
        <f t="shared" si="97"/>
        <v/>
      </c>
      <c r="E637" s="25" t="str">
        <f t="shared" si="98"/>
        <v/>
      </c>
      <c r="F637" s="25" t="str">
        <f>IF($E637="","",ROUND(MIN(Comparison!$C$5,MAX(0,$E637+$H637)),2))</f>
        <v/>
      </c>
      <c r="G637" s="25" t="str">
        <f>IF($E637="","",ROUND(MIN(Inputs!$B$10,MAX(0,$E637+$H637-$F637)),2))</f>
        <v/>
      </c>
      <c r="H637" s="25" t="str">
        <f>IF($E637="","",ROUND(IF(Inputs!$B$12="Daily Simple Interest",$E637*Inputs!$B$6/Inputs!$B$17*$D637,$E637*Inputs!$B$6/Inputs!$B$19),2))</f>
        <v/>
      </c>
      <c r="I637" s="25" t="str">
        <f t="shared" si="90"/>
        <v/>
      </c>
      <c r="J637" s="25" t="str">
        <f>IF($E637="","",IF($F637+$G637&gt;0,Inputs!$B$11,0))</f>
        <v/>
      </c>
      <c r="K637" s="25" t="str">
        <f t="shared" si="91"/>
        <v/>
      </c>
      <c r="L637" s="25" t="str">
        <f t="shared" si="92"/>
        <v/>
      </c>
      <c r="M637" s="25" t="str">
        <f t="shared" si="93"/>
        <v/>
      </c>
      <c r="N637" s="84" t="str">
        <f t="shared" si="94"/>
        <v/>
      </c>
      <c r="O637" s="23" t="str">
        <f t="shared" si="95"/>
        <v/>
      </c>
    </row>
    <row r="638" spans="1:15" ht="20" customHeight="1">
      <c r="A638" s="22" t="str">
        <f t="shared" si="96"/>
        <v/>
      </c>
      <c r="B638" s="23" t="str">
        <f>IF($E638="","",292)</f>
        <v/>
      </c>
      <c r="C638" s="24" t="str">
        <f>IF($E638="","",EDATE(Inputs!$B$9,INT(291/2))+IF(MOD(291,2)=0,0,Inputs!$B$22))</f>
        <v/>
      </c>
      <c r="D638" s="23" t="str">
        <f t="shared" si="97"/>
        <v/>
      </c>
      <c r="E638" s="25" t="str">
        <f t="shared" si="98"/>
        <v/>
      </c>
      <c r="F638" s="25" t="str">
        <f>IF($E638="","",ROUND(MIN(Comparison!$C$5,MAX(0,$E638+$H638)),2))</f>
        <v/>
      </c>
      <c r="G638" s="25" t="str">
        <f>IF($E638="","",ROUND(MIN(Inputs!$B$10,MAX(0,$E638+$H638-$F638)),2))</f>
        <v/>
      </c>
      <c r="H638" s="25" t="str">
        <f>IF($E638="","",ROUND(IF(Inputs!$B$12="Daily Simple Interest",$E638*Inputs!$B$6/Inputs!$B$17*$D638,$E638*Inputs!$B$6/Inputs!$B$19),2))</f>
        <v/>
      </c>
      <c r="I638" s="25" t="str">
        <f t="shared" si="90"/>
        <v/>
      </c>
      <c r="J638" s="25" t="str">
        <f>IF($E638="","",IF($F638+$G638&gt;0,Inputs!$B$11,0))</f>
        <v/>
      </c>
      <c r="K638" s="25" t="str">
        <f t="shared" si="91"/>
        <v/>
      </c>
      <c r="L638" s="25" t="str">
        <f t="shared" si="92"/>
        <v/>
      </c>
      <c r="M638" s="25" t="str">
        <f t="shared" si="93"/>
        <v/>
      </c>
      <c r="N638" s="84" t="str">
        <f t="shared" si="94"/>
        <v/>
      </c>
      <c r="O638" s="23" t="str">
        <f t="shared" si="95"/>
        <v/>
      </c>
    </row>
    <row r="639" spans="1:15" ht="20" customHeight="1">
      <c r="A639" s="22" t="str">
        <f t="shared" si="96"/>
        <v/>
      </c>
      <c r="B639" s="23" t="str">
        <f>IF($E639="","",293)</f>
        <v/>
      </c>
      <c r="C639" s="24" t="str">
        <f>IF($E639="","",EDATE(Inputs!$B$9,INT(292/2))+IF(MOD(292,2)=0,0,Inputs!$B$22))</f>
        <v/>
      </c>
      <c r="D639" s="23" t="str">
        <f t="shared" si="97"/>
        <v/>
      </c>
      <c r="E639" s="25" t="str">
        <f t="shared" si="98"/>
        <v/>
      </c>
      <c r="F639" s="25" t="str">
        <f>IF($E639="","",ROUND(MIN(Comparison!$C$5,MAX(0,$E639+$H639)),2))</f>
        <v/>
      </c>
      <c r="G639" s="25" t="str">
        <f>IF($E639="","",ROUND(MIN(Inputs!$B$10,MAX(0,$E639+$H639-$F639)),2))</f>
        <v/>
      </c>
      <c r="H639" s="25" t="str">
        <f>IF($E639="","",ROUND(IF(Inputs!$B$12="Daily Simple Interest",$E639*Inputs!$B$6/Inputs!$B$17*$D639,$E639*Inputs!$B$6/Inputs!$B$19),2))</f>
        <v/>
      </c>
      <c r="I639" s="25" t="str">
        <f t="shared" si="90"/>
        <v/>
      </c>
      <c r="J639" s="25" t="str">
        <f>IF($E639="","",IF($F639+$G639&gt;0,Inputs!$B$11,0))</f>
        <v/>
      </c>
      <c r="K639" s="25" t="str">
        <f t="shared" si="91"/>
        <v/>
      </c>
      <c r="L639" s="25" t="str">
        <f t="shared" si="92"/>
        <v/>
      </c>
      <c r="M639" s="25" t="str">
        <f t="shared" si="93"/>
        <v/>
      </c>
      <c r="N639" s="84" t="str">
        <f t="shared" si="94"/>
        <v/>
      </c>
      <c r="O639" s="23" t="str">
        <f t="shared" si="95"/>
        <v/>
      </c>
    </row>
    <row r="640" spans="1:15" ht="20" customHeight="1">
      <c r="A640" s="22" t="str">
        <f t="shared" si="96"/>
        <v/>
      </c>
      <c r="B640" s="23" t="str">
        <f>IF($E640="","",294)</f>
        <v/>
      </c>
      <c r="C640" s="24" t="str">
        <f>IF($E640="","",EDATE(Inputs!$B$9,INT(293/2))+IF(MOD(293,2)=0,0,Inputs!$B$22))</f>
        <v/>
      </c>
      <c r="D640" s="23" t="str">
        <f t="shared" si="97"/>
        <v/>
      </c>
      <c r="E640" s="25" t="str">
        <f t="shared" si="98"/>
        <v/>
      </c>
      <c r="F640" s="25" t="str">
        <f>IF($E640="","",ROUND(MIN(Comparison!$C$5,MAX(0,$E640+$H640)),2))</f>
        <v/>
      </c>
      <c r="G640" s="25" t="str">
        <f>IF($E640="","",ROUND(MIN(Inputs!$B$10,MAX(0,$E640+$H640-$F640)),2))</f>
        <v/>
      </c>
      <c r="H640" s="25" t="str">
        <f>IF($E640="","",ROUND(IF(Inputs!$B$12="Daily Simple Interest",$E640*Inputs!$B$6/Inputs!$B$17*$D640,$E640*Inputs!$B$6/Inputs!$B$19),2))</f>
        <v/>
      </c>
      <c r="I640" s="25" t="str">
        <f t="shared" si="90"/>
        <v/>
      </c>
      <c r="J640" s="25" t="str">
        <f>IF($E640="","",IF($F640+$G640&gt;0,Inputs!$B$11,0))</f>
        <v/>
      </c>
      <c r="K640" s="25" t="str">
        <f t="shared" si="91"/>
        <v/>
      </c>
      <c r="L640" s="25" t="str">
        <f t="shared" si="92"/>
        <v/>
      </c>
      <c r="M640" s="25" t="str">
        <f t="shared" si="93"/>
        <v/>
      </c>
      <c r="N640" s="84" t="str">
        <f t="shared" si="94"/>
        <v/>
      </c>
      <c r="O640" s="23" t="str">
        <f t="shared" si="95"/>
        <v/>
      </c>
    </row>
    <row r="641" spans="1:15" ht="20" customHeight="1">
      <c r="A641" s="22" t="str">
        <f t="shared" si="96"/>
        <v/>
      </c>
      <c r="B641" s="23" t="str">
        <f>IF($E641="","",295)</f>
        <v/>
      </c>
      <c r="C641" s="24" t="str">
        <f>IF($E641="","",EDATE(Inputs!$B$9,INT(294/2))+IF(MOD(294,2)=0,0,Inputs!$B$22))</f>
        <v/>
      </c>
      <c r="D641" s="23" t="str">
        <f t="shared" si="97"/>
        <v/>
      </c>
      <c r="E641" s="25" t="str">
        <f t="shared" si="98"/>
        <v/>
      </c>
      <c r="F641" s="25" t="str">
        <f>IF($E641="","",ROUND(MIN(Comparison!$C$5,MAX(0,$E641+$H641)),2))</f>
        <v/>
      </c>
      <c r="G641" s="25" t="str">
        <f>IF($E641="","",ROUND(MIN(Inputs!$B$10,MAX(0,$E641+$H641-$F641)),2))</f>
        <v/>
      </c>
      <c r="H641" s="25" t="str">
        <f>IF($E641="","",ROUND(IF(Inputs!$B$12="Daily Simple Interest",$E641*Inputs!$B$6/Inputs!$B$17*$D641,$E641*Inputs!$B$6/Inputs!$B$19),2))</f>
        <v/>
      </c>
      <c r="I641" s="25" t="str">
        <f t="shared" si="90"/>
        <v/>
      </c>
      <c r="J641" s="25" t="str">
        <f>IF($E641="","",IF($F641+$G641&gt;0,Inputs!$B$11,0))</f>
        <v/>
      </c>
      <c r="K641" s="25" t="str">
        <f t="shared" si="91"/>
        <v/>
      </c>
      <c r="L641" s="25" t="str">
        <f t="shared" si="92"/>
        <v/>
      </c>
      <c r="M641" s="25" t="str">
        <f t="shared" si="93"/>
        <v/>
      </c>
      <c r="N641" s="84" t="str">
        <f t="shared" si="94"/>
        <v/>
      </c>
      <c r="O641" s="23" t="str">
        <f t="shared" si="95"/>
        <v/>
      </c>
    </row>
    <row r="642" spans="1:15" ht="20" customHeight="1">
      <c r="A642" s="22" t="str">
        <f t="shared" si="96"/>
        <v/>
      </c>
      <c r="B642" s="23" t="str">
        <f>IF($E642="","",296)</f>
        <v/>
      </c>
      <c r="C642" s="24" t="str">
        <f>IF($E642="","",EDATE(Inputs!$B$9,INT(295/2))+IF(MOD(295,2)=0,0,Inputs!$B$22))</f>
        <v/>
      </c>
      <c r="D642" s="23" t="str">
        <f t="shared" si="97"/>
        <v/>
      </c>
      <c r="E642" s="25" t="str">
        <f t="shared" si="98"/>
        <v/>
      </c>
      <c r="F642" s="25" t="str">
        <f>IF($E642="","",ROUND(MIN(Comparison!$C$5,MAX(0,$E642+$H642)),2))</f>
        <v/>
      </c>
      <c r="G642" s="25" t="str">
        <f>IF($E642="","",ROUND(MIN(Inputs!$B$10,MAX(0,$E642+$H642-$F642)),2))</f>
        <v/>
      </c>
      <c r="H642" s="25" t="str">
        <f>IF($E642="","",ROUND(IF(Inputs!$B$12="Daily Simple Interest",$E642*Inputs!$B$6/Inputs!$B$17*$D642,$E642*Inputs!$B$6/Inputs!$B$19),2))</f>
        <v/>
      </c>
      <c r="I642" s="25" t="str">
        <f t="shared" si="90"/>
        <v/>
      </c>
      <c r="J642" s="25" t="str">
        <f>IF($E642="","",IF($F642+$G642&gt;0,Inputs!$B$11,0))</f>
        <v/>
      </c>
      <c r="K642" s="25" t="str">
        <f t="shared" si="91"/>
        <v/>
      </c>
      <c r="L642" s="25" t="str">
        <f t="shared" si="92"/>
        <v/>
      </c>
      <c r="M642" s="25" t="str">
        <f t="shared" si="93"/>
        <v/>
      </c>
      <c r="N642" s="84" t="str">
        <f t="shared" si="94"/>
        <v/>
      </c>
      <c r="O642" s="23" t="str">
        <f t="shared" si="95"/>
        <v/>
      </c>
    </row>
    <row r="643" spans="1:15" ht="20" customHeight="1">
      <c r="A643" s="22" t="str">
        <f t="shared" si="96"/>
        <v/>
      </c>
      <c r="B643" s="23" t="str">
        <f>IF($E643="","",297)</f>
        <v/>
      </c>
      <c r="C643" s="24" t="str">
        <f>IF($E643="","",EDATE(Inputs!$B$9,INT(296/2))+IF(MOD(296,2)=0,0,Inputs!$B$22))</f>
        <v/>
      </c>
      <c r="D643" s="23" t="str">
        <f t="shared" si="97"/>
        <v/>
      </c>
      <c r="E643" s="25" t="str">
        <f t="shared" si="98"/>
        <v/>
      </c>
      <c r="F643" s="25" t="str">
        <f>IF($E643="","",ROUND(MIN(Comparison!$C$5,MAX(0,$E643+$H643)),2))</f>
        <v/>
      </c>
      <c r="G643" s="25" t="str">
        <f>IF($E643="","",ROUND(MIN(Inputs!$B$10,MAX(0,$E643+$H643-$F643)),2))</f>
        <v/>
      </c>
      <c r="H643" s="25" t="str">
        <f>IF($E643="","",ROUND(IF(Inputs!$B$12="Daily Simple Interest",$E643*Inputs!$B$6/Inputs!$B$17*$D643,$E643*Inputs!$B$6/Inputs!$B$19),2))</f>
        <v/>
      </c>
      <c r="I643" s="25" t="str">
        <f t="shared" si="90"/>
        <v/>
      </c>
      <c r="J643" s="25" t="str">
        <f>IF($E643="","",IF($F643+$G643&gt;0,Inputs!$B$11,0))</f>
        <v/>
      </c>
      <c r="K643" s="25" t="str">
        <f t="shared" si="91"/>
        <v/>
      </c>
      <c r="L643" s="25" t="str">
        <f t="shared" si="92"/>
        <v/>
      </c>
      <c r="M643" s="25" t="str">
        <f t="shared" si="93"/>
        <v/>
      </c>
      <c r="N643" s="84" t="str">
        <f t="shared" si="94"/>
        <v/>
      </c>
      <c r="O643" s="23" t="str">
        <f t="shared" si="95"/>
        <v/>
      </c>
    </row>
    <row r="644" spans="1:15" ht="20" customHeight="1">
      <c r="A644" s="22" t="str">
        <f t="shared" si="96"/>
        <v/>
      </c>
      <c r="B644" s="23" t="str">
        <f>IF($E644="","",298)</f>
        <v/>
      </c>
      <c r="C644" s="24" t="str">
        <f>IF($E644="","",EDATE(Inputs!$B$9,INT(297/2))+IF(MOD(297,2)=0,0,Inputs!$B$22))</f>
        <v/>
      </c>
      <c r="D644" s="23" t="str">
        <f t="shared" si="97"/>
        <v/>
      </c>
      <c r="E644" s="25" t="str">
        <f t="shared" si="98"/>
        <v/>
      </c>
      <c r="F644" s="25" t="str">
        <f>IF($E644="","",ROUND(MIN(Comparison!$C$5,MAX(0,$E644+$H644)),2))</f>
        <v/>
      </c>
      <c r="G644" s="25" t="str">
        <f>IF($E644="","",ROUND(MIN(Inputs!$B$10,MAX(0,$E644+$H644-$F644)),2))</f>
        <v/>
      </c>
      <c r="H644" s="25" t="str">
        <f>IF($E644="","",ROUND(IF(Inputs!$B$12="Daily Simple Interest",$E644*Inputs!$B$6/Inputs!$B$17*$D644,$E644*Inputs!$B$6/Inputs!$B$19),2))</f>
        <v/>
      </c>
      <c r="I644" s="25" t="str">
        <f t="shared" si="90"/>
        <v/>
      </c>
      <c r="J644" s="25" t="str">
        <f>IF($E644="","",IF($F644+$G644&gt;0,Inputs!$B$11,0))</f>
        <v/>
      </c>
      <c r="K644" s="25" t="str">
        <f t="shared" si="91"/>
        <v/>
      </c>
      <c r="L644" s="25" t="str">
        <f t="shared" si="92"/>
        <v/>
      </c>
      <c r="M644" s="25" t="str">
        <f t="shared" si="93"/>
        <v/>
      </c>
      <c r="N644" s="84" t="str">
        <f t="shared" si="94"/>
        <v/>
      </c>
      <c r="O644" s="23" t="str">
        <f t="shared" si="95"/>
        <v/>
      </c>
    </row>
    <row r="645" spans="1:15" ht="20" customHeight="1">
      <c r="A645" s="22" t="str">
        <f t="shared" si="96"/>
        <v/>
      </c>
      <c r="B645" s="23" t="str">
        <f>IF($E645="","",299)</f>
        <v/>
      </c>
      <c r="C645" s="24" t="str">
        <f>IF($E645="","",EDATE(Inputs!$B$9,INT(298/2))+IF(MOD(298,2)=0,0,Inputs!$B$22))</f>
        <v/>
      </c>
      <c r="D645" s="23" t="str">
        <f t="shared" si="97"/>
        <v/>
      </c>
      <c r="E645" s="25" t="str">
        <f t="shared" si="98"/>
        <v/>
      </c>
      <c r="F645" s="25" t="str">
        <f>IF($E645="","",ROUND(MIN(Comparison!$C$5,MAX(0,$E645+$H645)),2))</f>
        <v/>
      </c>
      <c r="G645" s="25" t="str">
        <f>IF($E645="","",ROUND(MIN(Inputs!$B$10,MAX(0,$E645+$H645-$F645)),2))</f>
        <v/>
      </c>
      <c r="H645" s="25" t="str">
        <f>IF($E645="","",ROUND(IF(Inputs!$B$12="Daily Simple Interest",$E645*Inputs!$B$6/Inputs!$B$17*$D645,$E645*Inputs!$B$6/Inputs!$B$19),2))</f>
        <v/>
      </c>
      <c r="I645" s="25" t="str">
        <f t="shared" si="90"/>
        <v/>
      </c>
      <c r="J645" s="25" t="str">
        <f>IF($E645="","",IF($F645+$G645&gt;0,Inputs!$B$11,0))</f>
        <v/>
      </c>
      <c r="K645" s="25" t="str">
        <f t="shared" si="91"/>
        <v/>
      </c>
      <c r="L645" s="25" t="str">
        <f t="shared" si="92"/>
        <v/>
      </c>
      <c r="M645" s="25" t="str">
        <f t="shared" si="93"/>
        <v/>
      </c>
      <c r="N645" s="84" t="str">
        <f t="shared" si="94"/>
        <v/>
      </c>
      <c r="O645" s="23" t="str">
        <f t="shared" si="95"/>
        <v/>
      </c>
    </row>
    <row r="646" spans="1:15" ht="20" customHeight="1">
      <c r="A646" s="22" t="str">
        <f t="shared" si="96"/>
        <v/>
      </c>
      <c r="B646" s="23" t="str">
        <f>IF($E646="","",300)</f>
        <v/>
      </c>
      <c r="C646" s="24" t="str">
        <f>IF($E646="","",EDATE(Inputs!$B$9,INT(299/2))+IF(MOD(299,2)=0,0,Inputs!$B$22))</f>
        <v/>
      </c>
      <c r="D646" s="23" t="str">
        <f t="shared" si="97"/>
        <v/>
      </c>
      <c r="E646" s="25" t="str">
        <f t="shared" si="98"/>
        <v/>
      </c>
      <c r="F646" s="25" t="str">
        <f>IF($E646="","",ROUND(MIN(Comparison!$C$5,MAX(0,$E646+$H646)),2))</f>
        <v/>
      </c>
      <c r="G646" s="25" t="str">
        <f>IF($E646="","",ROUND(MIN(Inputs!$B$10,MAX(0,$E646+$H646-$F646)),2))</f>
        <v/>
      </c>
      <c r="H646" s="25" t="str">
        <f>IF($E646="","",ROUND(IF(Inputs!$B$12="Daily Simple Interest",$E646*Inputs!$B$6/Inputs!$B$17*$D646,$E646*Inputs!$B$6/Inputs!$B$19),2))</f>
        <v/>
      </c>
      <c r="I646" s="25" t="str">
        <f t="shared" si="90"/>
        <v/>
      </c>
      <c r="J646" s="25" t="str">
        <f>IF($E646="","",IF($F646+$G646&gt;0,Inputs!$B$11,0))</f>
        <v/>
      </c>
      <c r="K646" s="25" t="str">
        <f t="shared" si="91"/>
        <v/>
      </c>
      <c r="L646" s="25" t="str">
        <f t="shared" si="92"/>
        <v/>
      </c>
      <c r="M646" s="25" t="str">
        <f t="shared" si="93"/>
        <v/>
      </c>
      <c r="N646" s="84" t="str">
        <f t="shared" si="94"/>
        <v/>
      </c>
      <c r="O646" s="23" t="str">
        <f t="shared" si="95"/>
        <v/>
      </c>
    </row>
    <row r="647" spans="1:15" ht="20" customHeight="1">
      <c r="A647" s="22" t="str">
        <f t="shared" si="96"/>
        <v/>
      </c>
      <c r="B647" s="23" t="str">
        <f>IF($E647="","",301)</f>
        <v/>
      </c>
      <c r="C647" s="24" t="str">
        <f>IF($E647="","",EDATE(Inputs!$B$9,INT(300/2))+IF(MOD(300,2)=0,0,Inputs!$B$22))</f>
        <v/>
      </c>
      <c r="D647" s="23" t="str">
        <f t="shared" si="97"/>
        <v/>
      </c>
      <c r="E647" s="25" t="str">
        <f t="shared" si="98"/>
        <v/>
      </c>
      <c r="F647" s="25" t="str">
        <f>IF($E647="","",ROUND(MIN(Comparison!$C$5,MAX(0,$E647+$H647)),2))</f>
        <v/>
      </c>
      <c r="G647" s="25" t="str">
        <f>IF($E647="","",ROUND(MIN(Inputs!$B$10,MAX(0,$E647+$H647-$F647)),2))</f>
        <v/>
      </c>
      <c r="H647" s="25" t="str">
        <f>IF($E647="","",ROUND(IF(Inputs!$B$12="Daily Simple Interest",$E647*Inputs!$B$6/Inputs!$B$17*$D647,$E647*Inputs!$B$6/Inputs!$B$19),2))</f>
        <v/>
      </c>
      <c r="I647" s="25" t="str">
        <f t="shared" ref="I647:I710" si="99">IF($E647="","",ROUND($F647+$G647-$H647,2))</f>
        <v/>
      </c>
      <c r="J647" s="25" t="str">
        <f>IF($E647="","",IF($F647+$G647&gt;0,Inputs!$B$11,0))</f>
        <v/>
      </c>
      <c r="K647" s="25" t="str">
        <f t="shared" ref="K647:K710" si="100">IF($E647="","",ROUND(MAX(0,$E647-$I647),2))</f>
        <v/>
      </c>
      <c r="L647" s="25" t="str">
        <f t="shared" ref="L647:L710" si="101">IF($E647="","",$F647+$G647)</f>
        <v/>
      </c>
      <c r="M647" s="25" t="str">
        <f t="shared" ref="M647:M710" si="102">IF($E647="","",0)</f>
        <v/>
      </c>
      <c r="N647" s="84" t="str">
        <f t="shared" ref="N647:N710" si="103">IF($E647="","",IF($K647&lt;=0.005,"PAID OFF","ACTIVE"))</f>
        <v/>
      </c>
      <c r="O647" s="23" t="str">
        <f t="shared" ref="O647:O710" si="104">IF($E647="","",IF($F647+$G647&gt;0,1,0))</f>
        <v/>
      </c>
    </row>
    <row r="648" spans="1:15" ht="20" customHeight="1">
      <c r="A648" s="22" t="str">
        <f t="shared" si="96"/>
        <v/>
      </c>
      <c r="B648" s="23" t="str">
        <f>IF($E648="","",302)</f>
        <v/>
      </c>
      <c r="C648" s="24" t="str">
        <f>IF($E648="","",EDATE(Inputs!$B$9,INT(301/2))+IF(MOD(301,2)=0,0,Inputs!$B$22))</f>
        <v/>
      </c>
      <c r="D648" s="23" t="str">
        <f t="shared" si="97"/>
        <v/>
      </c>
      <c r="E648" s="25" t="str">
        <f t="shared" si="98"/>
        <v/>
      </c>
      <c r="F648" s="25" t="str">
        <f>IF($E648="","",ROUND(MIN(Comparison!$C$5,MAX(0,$E648+$H648)),2))</f>
        <v/>
      </c>
      <c r="G648" s="25" t="str">
        <f>IF($E648="","",ROUND(MIN(Inputs!$B$10,MAX(0,$E648+$H648-$F648)),2))</f>
        <v/>
      </c>
      <c r="H648" s="25" t="str">
        <f>IF($E648="","",ROUND(IF(Inputs!$B$12="Daily Simple Interest",$E648*Inputs!$B$6/Inputs!$B$17*$D648,$E648*Inputs!$B$6/Inputs!$B$19),2))</f>
        <v/>
      </c>
      <c r="I648" s="25" t="str">
        <f t="shared" si="99"/>
        <v/>
      </c>
      <c r="J648" s="25" t="str">
        <f>IF($E648="","",IF($F648+$G648&gt;0,Inputs!$B$11,0))</f>
        <v/>
      </c>
      <c r="K648" s="25" t="str">
        <f t="shared" si="100"/>
        <v/>
      </c>
      <c r="L648" s="25" t="str">
        <f t="shared" si="101"/>
        <v/>
      </c>
      <c r="M648" s="25" t="str">
        <f t="shared" si="102"/>
        <v/>
      </c>
      <c r="N648" s="84" t="str">
        <f t="shared" si="103"/>
        <v/>
      </c>
      <c r="O648" s="23" t="str">
        <f t="shared" si="104"/>
        <v/>
      </c>
    </row>
    <row r="649" spans="1:15" ht="20" customHeight="1">
      <c r="A649" s="22" t="str">
        <f t="shared" si="96"/>
        <v/>
      </c>
      <c r="B649" s="23" t="str">
        <f>IF($E649="","",303)</f>
        <v/>
      </c>
      <c r="C649" s="24" t="str">
        <f>IF($E649="","",EDATE(Inputs!$B$9,INT(302/2))+IF(MOD(302,2)=0,0,Inputs!$B$22))</f>
        <v/>
      </c>
      <c r="D649" s="23" t="str">
        <f t="shared" si="97"/>
        <v/>
      </c>
      <c r="E649" s="25" t="str">
        <f t="shared" si="98"/>
        <v/>
      </c>
      <c r="F649" s="25" t="str">
        <f>IF($E649="","",ROUND(MIN(Comparison!$C$5,MAX(0,$E649+$H649)),2))</f>
        <v/>
      </c>
      <c r="G649" s="25" t="str">
        <f>IF($E649="","",ROUND(MIN(Inputs!$B$10,MAX(0,$E649+$H649-$F649)),2))</f>
        <v/>
      </c>
      <c r="H649" s="25" t="str">
        <f>IF($E649="","",ROUND(IF(Inputs!$B$12="Daily Simple Interest",$E649*Inputs!$B$6/Inputs!$B$17*$D649,$E649*Inputs!$B$6/Inputs!$B$19),2))</f>
        <v/>
      </c>
      <c r="I649" s="25" t="str">
        <f t="shared" si="99"/>
        <v/>
      </c>
      <c r="J649" s="25" t="str">
        <f>IF($E649="","",IF($F649+$G649&gt;0,Inputs!$B$11,0))</f>
        <v/>
      </c>
      <c r="K649" s="25" t="str">
        <f t="shared" si="100"/>
        <v/>
      </c>
      <c r="L649" s="25" t="str">
        <f t="shared" si="101"/>
        <v/>
      </c>
      <c r="M649" s="25" t="str">
        <f t="shared" si="102"/>
        <v/>
      </c>
      <c r="N649" s="84" t="str">
        <f t="shared" si="103"/>
        <v/>
      </c>
      <c r="O649" s="23" t="str">
        <f t="shared" si="104"/>
        <v/>
      </c>
    </row>
    <row r="650" spans="1:15" ht="20" customHeight="1">
      <c r="A650" s="22" t="str">
        <f t="shared" si="96"/>
        <v/>
      </c>
      <c r="B650" s="23" t="str">
        <f>IF($E650="","",304)</f>
        <v/>
      </c>
      <c r="C650" s="24" t="str">
        <f>IF($E650="","",EDATE(Inputs!$B$9,INT(303/2))+IF(MOD(303,2)=0,0,Inputs!$B$22))</f>
        <v/>
      </c>
      <c r="D650" s="23" t="str">
        <f t="shared" si="97"/>
        <v/>
      </c>
      <c r="E650" s="25" t="str">
        <f t="shared" si="98"/>
        <v/>
      </c>
      <c r="F650" s="25" t="str">
        <f>IF($E650="","",ROUND(MIN(Comparison!$C$5,MAX(0,$E650+$H650)),2))</f>
        <v/>
      </c>
      <c r="G650" s="25" t="str">
        <f>IF($E650="","",ROUND(MIN(Inputs!$B$10,MAX(0,$E650+$H650-$F650)),2))</f>
        <v/>
      </c>
      <c r="H650" s="25" t="str">
        <f>IF($E650="","",ROUND(IF(Inputs!$B$12="Daily Simple Interest",$E650*Inputs!$B$6/Inputs!$B$17*$D650,$E650*Inputs!$B$6/Inputs!$B$19),2))</f>
        <v/>
      </c>
      <c r="I650" s="25" t="str">
        <f t="shared" si="99"/>
        <v/>
      </c>
      <c r="J650" s="25" t="str">
        <f>IF($E650="","",IF($F650+$G650&gt;0,Inputs!$B$11,0))</f>
        <v/>
      </c>
      <c r="K650" s="25" t="str">
        <f t="shared" si="100"/>
        <v/>
      </c>
      <c r="L650" s="25" t="str">
        <f t="shared" si="101"/>
        <v/>
      </c>
      <c r="M650" s="25" t="str">
        <f t="shared" si="102"/>
        <v/>
      </c>
      <c r="N650" s="84" t="str">
        <f t="shared" si="103"/>
        <v/>
      </c>
      <c r="O650" s="23" t="str">
        <f t="shared" si="104"/>
        <v/>
      </c>
    </row>
    <row r="651" spans="1:15" ht="20" customHeight="1">
      <c r="A651" s="22" t="str">
        <f t="shared" si="96"/>
        <v/>
      </c>
      <c r="B651" s="23" t="str">
        <f>IF($E651="","",305)</f>
        <v/>
      </c>
      <c r="C651" s="24" t="str">
        <f>IF($E651="","",EDATE(Inputs!$B$9,INT(304/2))+IF(MOD(304,2)=0,0,Inputs!$B$22))</f>
        <v/>
      </c>
      <c r="D651" s="23" t="str">
        <f t="shared" si="97"/>
        <v/>
      </c>
      <c r="E651" s="25" t="str">
        <f t="shared" si="98"/>
        <v/>
      </c>
      <c r="F651" s="25" t="str">
        <f>IF($E651="","",ROUND(MIN(Comparison!$C$5,MAX(0,$E651+$H651)),2))</f>
        <v/>
      </c>
      <c r="G651" s="25" t="str">
        <f>IF($E651="","",ROUND(MIN(Inputs!$B$10,MAX(0,$E651+$H651-$F651)),2))</f>
        <v/>
      </c>
      <c r="H651" s="25" t="str">
        <f>IF($E651="","",ROUND(IF(Inputs!$B$12="Daily Simple Interest",$E651*Inputs!$B$6/Inputs!$B$17*$D651,$E651*Inputs!$B$6/Inputs!$B$19),2))</f>
        <v/>
      </c>
      <c r="I651" s="25" t="str">
        <f t="shared" si="99"/>
        <v/>
      </c>
      <c r="J651" s="25" t="str">
        <f>IF($E651="","",IF($F651+$G651&gt;0,Inputs!$B$11,0))</f>
        <v/>
      </c>
      <c r="K651" s="25" t="str">
        <f t="shared" si="100"/>
        <v/>
      </c>
      <c r="L651" s="25" t="str">
        <f t="shared" si="101"/>
        <v/>
      </c>
      <c r="M651" s="25" t="str">
        <f t="shared" si="102"/>
        <v/>
      </c>
      <c r="N651" s="84" t="str">
        <f t="shared" si="103"/>
        <v/>
      </c>
      <c r="O651" s="23" t="str">
        <f t="shared" si="104"/>
        <v/>
      </c>
    </row>
    <row r="652" spans="1:15" ht="20" customHeight="1">
      <c r="A652" s="22" t="str">
        <f t="shared" si="96"/>
        <v/>
      </c>
      <c r="B652" s="23" t="str">
        <f>IF($E652="","",306)</f>
        <v/>
      </c>
      <c r="C652" s="24" t="str">
        <f>IF($E652="","",EDATE(Inputs!$B$9,INT(305/2))+IF(MOD(305,2)=0,0,Inputs!$B$22))</f>
        <v/>
      </c>
      <c r="D652" s="23" t="str">
        <f t="shared" si="97"/>
        <v/>
      </c>
      <c r="E652" s="25" t="str">
        <f t="shared" si="98"/>
        <v/>
      </c>
      <c r="F652" s="25" t="str">
        <f>IF($E652="","",ROUND(MIN(Comparison!$C$5,MAX(0,$E652+$H652)),2))</f>
        <v/>
      </c>
      <c r="G652" s="25" t="str">
        <f>IF($E652="","",ROUND(MIN(Inputs!$B$10,MAX(0,$E652+$H652-$F652)),2))</f>
        <v/>
      </c>
      <c r="H652" s="25" t="str">
        <f>IF($E652="","",ROUND(IF(Inputs!$B$12="Daily Simple Interest",$E652*Inputs!$B$6/Inputs!$B$17*$D652,$E652*Inputs!$B$6/Inputs!$B$19),2))</f>
        <v/>
      </c>
      <c r="I652" s="25" t="str">
        <f t="shared" si="99"/>
        <v/>
      </c>
      <c r="J652" s="25" t="str">
        <f>IF($E652="","",IF($F652+$G652&gt;0,Inputs!$B$11,0))</f>
        <v/>
      </c>
      <c r="K652" s="25" t="str">
        <f t="shared" si="100"/>
        <v/>
      </c>
      <c r="L652" s="25" t="str">
        <f t="shared" si="101"/>
        <v/>
      </c>
      <c r="M652" s="25" t="str">
        <f t="shared" si="102"/>
        <v/>
      </c>
      <c r="N652" s="84" t="str">
        <f t="shared" si="103"/>
        <v/>
      </c>
      <c r="O652" s="23" t="str">
        <f t="shared" si="104"/>
        <v/>
      </c>
    </row>
    <row r="653" spans="1:15" ht="20" customHeight="1">
      <c r="A653" s="22" t="str">
        <f t="shared" si="96"/>
        <v/>
      </c>
      <c r="B653" s="23" t="str">
        <f>IF($E653="","",307)</f>
        <v/>
      </c>
      <c r="C653" s="24" t="str">
        <f>IF($E653="","",EDATE(Inputs!$B$9,INT(306/2))+IF(MOD(306,2)=0,0,Inputs!$B$22))</f>
        <v/>
      </c>
      <c r="D653" s="23" t="str">
        <f t="shared" si="97"/>
        <v/>
      </c>
      <c r="E653" s="25" t="str">
        <f t="shared" si="98"/>
        <v/>
      </c>
      <c r="F653" s="25" t="str">
        <f>IF($E653="","",ROUND(MIN(Comparison!$C$5,MAX(0,$E653+$H653)),2))</f>
        <v/>
      </c>
      <c r="G653" s="25" t="str">
        <f>IF($E653="","",ROUND(MIN(Inputs!$B$10,MAX(0,$E653+$H653-$F653)),2))</f>
        <v/>
      </c>
      <c r="H653" s="25" t="str">
        <f>IF($E653="","",ROUND(IF(Inputs!$B$12="Daily Simple Interest",$E653*Inputs!$B$6/Inputs!$B$17*$D653,$E653*Inputs!$B$6/Inputs!$B$19),2))</f>
        <v/>
      </c>
      <c r="I653" s="25" t="str">
        <f t="shared" si="99"/>
        <v/>
      </c>
      <c r="J653" s="25" t="str">
        <f>IF($E653="","",IF($F653+$G653&gt;0,Inputs!$B$11,0))</f>
        <v/>
      </c>
      <c r="K653" s="25" t="str">
        <f t="shared" si="100"/>
        <v/>
      </c>
      <c r="L653" s="25" t="str">
        <f t="shared" si="101"/>
        <v/>
      </c>
      <c r="M653" s="25" t="str">
        <f t="shared" si="102"/>
        <v/>
      </c>
      <c r="N653" s="84" t="str">
        <f t="shared" si="103"/>
        <v/>
      </c>
      <c r="O653" s="23" t="str">
        <f t="shared" si="104"/>
        <v/>
      </c>
    </row>
    <row r="654" spans="1:15" ht="20" customHeight="1">
      <c r="A654" s="22" t="str">
        <f t="shared" si="96"/>
        <v/>
      </c>
      <c r="B654" s="23" t="str">
        <f>IF($E654="","",308)</f>
        <v/>
      </c>
      <c r="C654" s="24" t="str">
        <f>IF($E654="","",EDATE(Inputs!$B$9,INT(307/2))+IF(MOD(307,2)=0,0,Inputs!$B$22))</f>
        <v/>
      </c>
      <c r="D654" s="23" t="str">
        <f t="shared" si="97"/>
        <v/>
      </c>
      <c r="E654" s="25" t="str">
        <f t="shared" si="98"/>
        <v/>
      </c>
      <c r="F654" s="25" t="str">
        <f>IF($E654="","",ROUND(MIN(Comparison!$C$5,MAX(0,$E654+$H654)),2))</f>
        <v/>
      </c>
      <c r="G654" s="25" t="str">
        <f>IF($E654="","",ROUND(MIN(Inputs!$B$10,MAX(0,$E654+$H654-$F654)),2))</f>
        <v/>
      </c>
      <c r="H654" s="25" t="str">
        <f>IF($E654="","",ROUND(IF(Inputs!$B$12="Daily Simple Interest",$E654*Inputs!$B$6/Inputs!$B$17*$D654,$E654*Inputs!$B$6/Inputs!$B$19),2))</f>
        <v/>
      </c>
      <c r="I654" s="25" t="str">
        <f t="shared" si="99"/>
        <v/>
      </c>
      <c r="J654" s="25" t="str">
        <f>IF($E654="","",IF($F654+$G654&gt;0,Inputs!$B$11,0))</f>
        <v/>
      </c>
      <c r="K654" s="25" t="str">
        <f t="shared" si="100"/>
        <v/>
      </c>
      <c r="L654" s="25" t="str">
        <f t="shared" si="101"/>
        <v/>
      </c>
      <c r="M654" s="25" t="str">
        <f t="shared" si="102"/>
        <v/>
      </c>
      <c r="N654" s="84" t="str">
        <f t="shared" si="103"/>
        <v/>
      </c>
      <c r="O654" s="23" t="str">
        <f t="shared" si="104"/>
        <v/>
      </c>
    </row>
    <row r="655" spans="1:15" ht="20" customHeight="1">
      <c r="A655" s="22" t="str">
        <f t="shared" si="96"/>
        <v/>
      </c>
      <c r="B655" s="23" t="str">
        <f>IF($E655="","",309)</f>
        <v/>
      </c>
      <c r="C655" s="24" t="str">
        <f>IF($E655="","",EDATE(Inputs!$B$9,INT(308/2))+IF(MOD(308,2)=0,0,Inputs!$B$22))</f>
        <v/>
      </c>
      <c r="D655" s="23" t="str">
        <f t="shared" si="97"/>
        <v/>
      </c>
      <c r="E655" s="25" t="str">
        <f t="shared" si="98"/>
        <v/>
      </c>
      <c r="F655" s="25" t="str">
        <f>IF($E655="","",ROUND(MIN(Comparison!$C$5,MAX(0,$E655+$H655)),2))</f>
        <v/>
      </c>
      <c r="G655" s="25" t="str">
        <f>IF($E655="","",ROUND(MIN(Inputs!$B$10,MAX(0,$E655+$H655-$F655)),2))</f>
        <v/>
      </c>
      <c r="H655" s="25" t="str">
        <f>IF($E655="","",ROUND(IF(Inputs!$B$12="Daily Simple Interest",$E655*Inputs!$B$6/Inputs!$B$17*$D655,$E655*Inputs!$B$6/Inputs!$B$19),2))</f>
        <v/>
      </c>
      <c r="I655" s="25" t="str">
        <f t="shared" si="99"/>
        <v/>
      </c>
      <c r="J655" s="25" t="str">
        <f>IF($E655="","",IF($F655+$G655&gt;0,Inputs!$B$11,0))</f>
        <v/>
      </c>
      <c r="K655" s="25" t="str">
        <f t="shared" si="100"/>
        <v/>
      </c>
      <c r="L655" s="25" t="str">
        <f t="shared" si="101"/>
        <v/>
      </c>
      <c r="M655" s="25" t="str">
        <f t="shared" si="102"/>
        <v/>
      </c>
      <c r="N655" s="84" t="str">
        <f t="shared" si="103"/>
        <v/>
      </c>
      <c r="O655" s="23" t="str">
        <f t="shared" si="104"/>
        <v/>
      </c>
    </row>
    <row r="656" spans="1:15" ht="20" customHeight="1">
      <c r="A656" s="22" t="str">
        <f t="shared" si="96"/>
        <v/>
      </c>
      <c r="B656" s="23" t="str">
        <f>IF($E656="","",310)</f>
        <v/>
      </c>
      <c r="C656" s="24" t="str">
        <f>IF($E656="","",EDATE(Inputs!$B$9,INT(309/2))+IF(MOD(309,2)=0,0,Inputs!$B$22))</f>
        <v/>
      </c>
      <c r="D656" s="23" t="str">
        <f t="shared" si="97"/>
        <v/>
      </c>
      <c r="E656" s="25" t="str">
        <f t="shared" si="98"/>
        <v/>
      </c>
      <c r="F656" s="25" t="str">
        <f>IF($E656="","",ROUND(MIN(Comparison!$C$5,MAX(0,$E656+$H656)),2))</f>
        <v/>
      </c>
      <c r="G656" s="25" t="str">
        <f>IF($E656="","",ROUND(MIN(Inputs!$B$10,MAX(0,$E656+$H656-$F656)),2))</f>
        <v/>
      </c>
      <c r="H656" s="25" t="str">
        <f>IF($E656="","",ROUND(IF(Inputs!$B$12="Daily Simple Interest",$E656*Inputs!$B$6/Inputs!$B$17*$D656,$E656*Inputs!$B$6/Inputs!$B$19),2))</f>
        <v/>
      </c>
      <c r="I656" s="25" t="str">
        <f t="shared" si="99"/>
        <v/>
      </c>
      <c r="J656" s="25" t="str">
        <f>IF($E656="","",IF($F656+$G656&gt;0,Inputs!$B$11,0))</f>
        <v/>
      </c>
      <c r="K656" s="25" t="str">
        <f t="shared" si="100"/>
        <v/>
      </c>
      <c r="L656" s="25" t="str">
        <f t="shared" si="101"/>
        <v/>
      </c>
      <c r="M656" s="25" t="str">
        <f t="shared" si="102"/>
        <v/>
      </c>
      <c r="N656" s="84" t="str">
        <f t="shared" si="103"/>
        <v/>
      </c>
      <c r="O656" s="23" t="str">
        <f t="shared" si="104"/>
        <v/>
      </c>
    </row>
    <row r="657" spans="1:15" ht="20" customHeight="1">
      <c r="A657" s="22" t="str">
        <f t="shared" si="96"/>
        <v/>
      </c>
      <c r="B657" s="23" t="str">
        <f>IF($E657="","",311)</f>
        <v/>
      </c>
      <c r="C657" s="24" t="str">
        <f>IF($E657="","",EDATE(Inputs!$B$9,INT(310/2))+IF(MOD(310,2)=0,0,Inputs!$B$22))</f>
        <v/>
      </c>
      <c r="D657" s="23" t="str">
        <f t="shared" si="97"/>
        <v/>
      </c>
      <c r="E657" s="25" t="str">
        <f t="shared" si="98"/>
        <v/>
      </c>
      <c r="F657" s="25" t="str">
        <f>IF($E657="","",ROUND(MIN(Comparison!$C$5,MAX(0,$E657+$H657)),2))</f>
        <v/>
      </c>
      <c r="G657" s="25" t="str">
        <f>IF($E657="","",ROUND(MIN(Inputs!$B$10,MAX(0,$E657+$H657-$F657)),2))</f>
        <v/>
      </c>
      <c r="H657" s="25" t="str">
        <f>IF($E657="","",ROUND(IF(Inputs!$B$12="Daily Simple Interest",$E657*Inputs!$B$6/Inputs!$B$17*$D657,$E657*Inputs!$B$6/Inputs!$B$19),2))</f>
        <v/>
      </c>
      <c r="I657" s="25" t="str">
        <f t="shared" si="99"/>
        <v/>
      </c>
      <c r="J657" s="25" t="str">
        <f>IF($E657="","",IF($F657+$G657&gt;0,Inputs!$B$11,0))</f>
        <v/>
      </c>
      <c r="K657" s="25" t="str">
        <f t="shared" si="100"/>
        <v/>
      </c>
      <c r="L657" s="25" t="str">
        <f t="shared" si="101"/>
        <v/>
      </c>
      <c r="M657" s="25" t="str">
        <f t="shared" si="102"/>
        <v/>
      </c>
      <c r="N657" s="84" t="str">
        <f t="shared" si="103"/>
        <v/>
      </c>
      <c r="O657" s="23" t="str">
        <f t="shared" si="104"/>
        <v/>
      </c>
    </row>
    <row r="658" spans="1:15" ht="20" customHeight="1">
      <c r="A658" s="22" t="str">
        <f t="shared" si="96"/>
        <v/>
      </c>
      <c r="B658" s="23" t="str">
        <f>IF($E658="","",312)</f>
        <v/>
      </c>
      <c r="C658" s="24" t="str">
        <f>IF($E658="","",EDATE(Inputs!$B$9,INT(311/2))+IF(MOD(311,2)=0,0,Inputs!$B$22))</f>
        <v/>
      </c>
      <c r="D658" s="23" t="str">
        <f t="shared" si="97"/>
        <v/>
      </c>
      <c r="E658" s="25" t="str">
        <f t="shared" si="98"/>
        <v/>
      </c>
      <c r="F658" s="25" t="str">
        <f>IF($E658="","",ROUND(MIN(Comparison!$C$5,MAX(0,$E658+$H658)),2))</f>
        <v/>
      </c>
      <c r="G658" s="25" t="str">
        <f>IF($E658="","",ROUND(MIN(Inputs!$B$10,MAX(0,$E658+$H658-$F658)),2))</f>
        <v/>
      </c>
      <c r="H658" s="25" t="str">
        <f>IF($E658="","",ROUND(IF(Inputs!$B$12="Daily Simple Interest",$E658*Inputs!$B$6/Inputs!$B$17*$D658,$E658*Inputs!$B$6/Inputs!$B$19),2))</f>
        <v/>
      </c>
      <c r="I658" s="25" t="str">
        <f t="shared" si="99"/>
        <v/>
      </c>
      <c r="J658" s="25" t="str">
        <f>IF($E658="","",IF($F658+$G658&gt;0,Inputs!$B$11,0))</f>
        <v/>
      </c>
      <c r="K658" s="25" t="str">
        <f t="shared" si="100"/>
        <v/>
      </c>
      <c r="L658" s="25" t="str">
        <f t="shared" si="101"/>
        <v/>
      </c>
      <c r="M658" s="25" t="str">
        <f t="shared" si="102"/>
        <v/>
      </c>
      <c r="N658" s="84" t="str">
        <f t="shared" si="103"/>
        <v/>
      </c>
      <c r="O658" s="23" t="str">
        <f t="shared" si="104"/>
        <v/>
      </c>
    </row>
    <row r="659" spans="1:15" ht="20" customHeight="1">
      <c r="A659" s="22" t="str">
        <f t="shared" si="96"/>
        <v/>
      </c>
      <c r="B659" s="23" t="str">
        <f>IF($E659="","",313)</f>
        <v/>
      </c>
      <c r="C659" s="24" t="str">
        <f>IF($E659="","",EDATE(Inputs!$B$9,INT(312/2))+IF(MOD(312,2)=0,0,Inputs!$B$22))</f>
        <v/>
      </c>
      <c r="D659" s="23" t="str">
        <f t="shared" si="97"/>
        <v/>
      </c>
      <c r="E659" s="25" t="str">
        <f t="shared" si="98"/>
        <v/>
      </c>
      <c r="F659" s="25" t="str">
        <f>IF($E659="","",ROUND(MIN(Comparison!$C$5,MAX(0,$E659+$H659)),2))</f>
        <v/>
      </c>
      <c r="G659" s="25" t="str">
        <f>IF($E659="","",ROUND(MIN(Inputs!$B$10,MAX(0,$E659+$H659-$F659)),2))</f>
        <v/>
      </c>
      <c r="H659" s="25" t="str">
        <f>IF($E659="","",ROUND(IF(Inputs!$B$12="Daily Simple Interest",$E659*Inputs!$B$6/Inputs!$B$17*$D659,$E659*Inputs!$B$6/Inputs!$B$19),2))</f>
        <v/>
      </c>
      <c r="I659" s="25" t="str">
        <f t="shared" si="99"/>
        <v/>
      </c>
      <c r="J659" s="25" t="str">
        <f>IF($E659="","",IF($F659+$G659&gt;0,Inputs!$B$11,0))</f>
        <v/>
      </c>
      <c r="K659" s="25" t="str">
        <f t="shared" si="100"/>
        <v/>
      </c>
      <c r="L659" s="25" t="str">
        <f t="shared" si="101"/>
        <v/>
      </c>
      <c r="M659" s="25" t="str">
        <f t="shared" si="102"/>
        <v/>
      </c>
      <c r="N659" s="84" t="str">
        <f t="shared" si="103"/>
        <v/>
      </c>
      <c r="O659" s="23" t="str">
        <f t="shared" si="104"/>
        <v/>
      </c>
    </row>
    <row r="660" spans="1:15" ht="20" customHeight="1">
      <c r="A660" s="22" t="str">
        <f t="shared" si="96"/>
        <v/>
      </c>
      <c r="B660" s="23" t="str">
        <f>IF($E660="","",314)</f>
        <v/>
      </c>
      <c r="C660" s="24" t="str">
        <f>IF($E660="","",EDATE(Inputs!$B$9,INT(313/2))+IF(MOD(313,2)=0,0,Inputs!$B$22))</f>
        <v/>
      </c>
      <c r="D660" s="23" t="str">
        <f t="shared" si="97"/>
        <v/>
      </c>
      <c r="E660" s="25" t="str">
        <f t="shared" si="98"/>
        <v/>
      </c>
      <c r="F660" s="25" t="str">
        <f>IF($E660="","",ROUND(MIN(Comparison!$C$5,MAX(0,$E660+$H660)),2))</f>
        <v/>
      </c>
      <c r="G660" s="25" t="str">
        <f>IF($E660="","",ROUND(MIN(Inputs!$B$10,MAX(0,$E660+$H660-$F660)),2))</f>
        <v/>
      </c>
      <c r="H660" s="25" t="str">
        <f>IF($E660="","",ROUND(IF(Inputs!$B$12="Daily Simple Interest",$E660*Inputs!$B$6/Inputs!$B$17*$D660,$E660*Inputs!$B$6/Inputs!$B$19),2))</f>
        <v/>
      </c>
      <c r="I660" s="25" t="str">
        <f t="shared" si="99"/>
        <v/>
      </c>
      <c r="J660" s="25" t="str">
        <f>IF($E660="","",IF($F660+$G660&gt;0,Inputs!$B$11,0))</f>
        <v/>
      </c>
      <c r="K660" s="25" t="str">
        <f t="shared" si="100"/>
        <v/>
      </c>
      <c r="L660" s="25" t="str">
        <f t="shared" si="101"/>
        <v/>
      </c>
      <c r="M660" s="25" t="str">
        <f t="shared" si="102"/>
        <v/>
      </c>
      <c r="N660" s="84" t="str">
        <f t="shared" si="103"/>
        <v/>
      </c>
      <c r="O660" s="23" t="str">
        <f t="shared" si="104"/>
        <v/>
      </c>
    </row>
    <row r="661" spans="1:15" ht="20" customHeight="1">
      <c r="A661" s="22" t="str">
        <f t="shared" si="96"/>
        <v/>
      </c>
      <c r="B661" s="23" t="str">
        <f>IF($E661="","",315)</f>
        <v/>
      </c>
      <c r="C661" s="24" t="str">
        <f>IF($E661="","",EDATE(Inputs!$B$9,INT(314/2))+IF(MOD(314,2)=0,0,Inputs!$B$22))</f>
        <v/>
      </c>
      <c r="D661" s="23" t="str">
        <f t="shared" si="97"/>
        <v/>
      </c>
      <c r="E661" s="25" t="str">
        <f t="shared" si="98"/>
        <v/>
      </c>
      <c r="F661" s="25" t="str">
        <f>IF($E661="","",ROUND(MIN(Comparison!$C$5,MAX(0,$E661+$H661)),2))</f>
        <v/>
      </c>
      <c r="G661" s="25" t="str">
        <f>IF($E661="","",ROUND(MIN(Inputs!$B$10,MAX(0,$E661+$H661-$F661)),2))</f>
        <v/>
      </c>
      <c r="H661" s="25" t="str">
        <f>IF($E661="","",ROUND(IF(Inputs!$B$12="Daily Simple Interest",$E661*Inputs!$B$6/Inputs!$B$17*$D661,$E661*Inputs!$B$6/Inputs!$B$19),2))</f>
        <v/>
      </c>
      <c r="I661" s="25" t="str">
        <f t="shared" si="99"/>
        <v/>
      </c>
      <c r="J661" s="25" t="str">
        <f>IF($E661="","",IF($F661+$G661&gt;0,Inputs!$B$11,0))</f>
        <v/>
      </c>
      <c r="K661" s="25" t="str">
        <f t="shared" si="100"/>
        <v/>
      </c>
      <c r="L661" s="25" t="str">
        <f t="shared" si="101"/>
        <v/>
      </c>
      <c r="M661" s="25" t="str">
        <f t="shared" si="102"/>
        <v/>
      </c>
      <c r="N661" s="84" t="str">
        <f t="shared" si="103"/>
        <v/>
      </c>
      <c r="O661" s="23" t="str">
        <f t="shared" si="104"/>
        <v/>
      </c>
    </row>
    <row r="662" spans="1:15" ht="20" customHeight="1">
      <c r="A662" s="22" t="str">
        <f t="shared" si="96"/>
        <v/>
      </c>
      <c r="B662" s="23" t="str">
        <f>IF($E662="","",316)</f>
        <v/>
      </c>
      <c r="C662" s="24" t="str">
        <f>IF($E662="","",EDATE(Inputs!$B$9,INT(315/2))+IF(MOD(315,2)=0,0,Inputs!$B$22))</f>
        <v/>
      </c>
      <c r="D662" s="23" t="str">
        <f t="shared" si="97"/>
        <v/>
      </c>
      <c r="E662" s="25" t="str">
        <f t="shared" si="98"/>
        <v/>
      </c>
      <c r="F662" s="25" t="str">
        <f>IF($E662="","",ROUND(MIN(Comparison!$C$5,MAX(0,$E662+$H662)),2))</f>
        <v/>
      </c>
      <c r="G662" s="25" t="str">
        <f>IF($E662="","",ROUND(MIN(Inputs!$B$10,MAX(0,$E662+$H662-$F662)),2))</f>
        <v/>
      </c>
      <c r="H662" s="25" t="str">
        <f>IF($E662="","",ROUND(IF(Inputs!$B$12="Daily Simple Interest",$E662*Inputs!$B$6/Inputs!$B$17*$D662,$E662*Inputs!$B$6/Inputs!$B$19),2))</f>
        <v/>
      </c>
      <c r="I662" s="25" t="str">
        <f t="shared" si="99"/>
        <v/>
      </c>
      <c r="J662" s="25" t="str">
        <f>IF($E662="","",IF($F662+$G662&gt;0,Inputs!$B$11,0))</f>
        <v/>
      </c>
      <c r="K662" s="25" t="str">
        <f t="shared" si="100"/>
        <v/>
      </c>
      <c r="L662" s="25" t="str">
        <f t="shared" si="101"/>
        <v/>
      </c>
      <c r="M662" s="25" t="str">
        <f t="shared" si="102"/>
        <v/>
      </c>
      <c r="N662" s="84" t="str">
        <f t="shared" si="103"/>
        <v/>
      </c>
      <c r="O662" s="23" t="str">
        <f t="shared" si="104"/>
        <v/>
      </c>
    </row>
    <row r="663" spans="1:15" ht="20" customHeight="1">
      <c r="A663" s="22" t="str">
        <f t="shared" si="96"/>
        <v/>
      </c>
      <c r="B663" s="23" t="str">
        <f>IF($E663="","",317)</f>
        <v/>
      </c>
      <c r="C663" s="24" t="str">
        <f>IF($E663="","",EDATE(Inputs!$B$9,INT(316/2))+IF(MOD(316,2)=0,0,Inputs!$B$22))</f>
        <v/>
      </c>
      <c r="D663" s="23" t="str">
        <f t="shared" si="97"/>
        <v/>
      </c>
      <c r="E663" s="25" t="str">
        <f t="shared" si="98"/>
        <v/>
      </c>
      <c r="F663" s="25" t="str">
        <f>IF($E663="","",ROUND(MIN(Comparison!$C$5,MAX(0,$E663+$H663)),2))</f>
        <v/>
      </c>
      <c r="G663" s="25" t="str">
        <f>IF($E663="","",ROUND(MIN(Inputs!$B$10,MAX(0,$E663+$H663-$F663)),2))</f>
        <v/>
      </c>
      <c r="H663" s="25" t="str">
        <f>IF($E663="","",ROUND(IF(Inputs!$B$12="Daily Simple Interest",$E663*Inputs!$B$6/Inputs!$B$17*$D663,$E663*Inputs!$B$6/Inputs!$B$19),2))</f>
        <v/>
      </c>
      <c r="I663" s="25" t="str">
        <f t="shared" si="99"/>
        <v/>
      </c>
      <c r="J663" s="25" t="str">
        <f>IF($E663="","",IF($F663+$G663&gt;0,Inputs!$B$11,0))</f>
        <v/>
      </c>
      <c r="K663" s="25" t="str">
        <f t="shared" si="100"/>
        <v/>
      </c>
      <c r="L663" s="25" t="str">
        <f t="shared" si="101"/>
        <v/>
      </c>
      <c r="M663" s="25" t="str">
        <f t="shared" si="102"/>
        <v/>
      </c>
      <c r="N663" s="84" t="str">
        <f t="shared" si="103"/>
        <v/>
      </c>
      <c r="O663" s="23" t="str">
        <f t="shared" si="104"/>
        <v/>
      </c>
    </row>
    <row r="664" spans="1:15" ht="20" customHeight="1">
      <c r="A664" s="22" t="str">
        <f t="shared" si="96"/>
        <v/>
      </c>
      <c r="B664" s="23" t="str">
        <f>IF($E664="","",318)</f>
        <v/>
      </c>
      <c r="C664" s="24" t="str">
        <f>IF($E664="","",EDATE(Inputs!$B$9,INT(317/2))+IF(MOD(317,2)=0,0,Inputs!$B$22))</f>
        <v/>
      </c>
      <c r="D664" s="23" t="str">
        <f t="shared" si="97"/>
        <v/>
      </c>
      <c r="E664" s="25" t="str">
        <f t="shared" si="98"/>
        <v/>
      </c>
      <c r="F664" s="25" t="str">
        <f>IF($E664="","",ROUND(MIN(Comparison!$C$5,MAX(0,$E664+$H664)),2))</f>
        <v/>
      </c>
      <c r="G664" s="25" t="str">
        <f>IF($E664="","",ROUND(MIN(Inputs!$B$10,MAX(0,$E664+$H664-$F664)),2))</f>
        <v/>
      </c>
      <c r="H664" s="25" t="str">
        <f>IF($E664="","",ROUND(IF(Inputs!$B$12="Daily Simple Interest",$E664*Inputs!$B$6/Inputs!$B$17*$D664,$E664*Inputs!$B$6/Inputs!$B$19),2))</f>
        <v/>
      </c>
      <c r="I664" s="25" t="str">
        <f t="shared" si="99"/>
        <v/>
      </c>
      <c r="J664" s="25" t="str">
        <f>IF($E664="","",IF($F664+$G664&gt;0,Inputs!$B$11,0))</f>
        <v/>
      </c>
      <c r="K664" s="25" t="str">
        <f t="shared" si="100"/>
        <v/>
      </c>
      <c r="L664" s="25" t="str">
        <f t="shared" si="101"/>
        <v/>
      </c>
      <c r="M664" s="25" t="str">
        <f t="shared" si="102"/>
        <v/>
      </c>
      <c r="N664" s="84" t="str">
        <f t="shared" si="103"/>
        <v/>
      </c>
      <c r="O664" s="23" t="str">
        <f t="shared" si="104"/>
        <v/>
      </c>
    </row>
    <row r="665" spans="1:15" ht="20" customHeight="1">
      <c r="A665" s="22" t="str">
        <f t="shared" si="96"/>
        <v/>
      </c>
      <c r="B665" s="23" t="str">
        <f>IF($E665="","",319)</f>
        <v/>
      </c>
      <c r="C665" s="24" t="str">
        <f>IF($E665="","",EDATE(Inputs!$B$9,INT(318/2))+IF(MOD(318,2)=0,0,Inputs!$B$22))</f>
        <v/>
      </c>
      <c r="D665" s="23" t="str">
        <f t="shared" si="97"/>
        <v/>
      </c>
      <c r="E665" s="25" t="str">
        <f t="shared" si="98"/>
        <v/>
      </c>
      <c r="F665" s="25" t="str">
        <f>IF($E665="","",ROUND(MIN(Comparison!$C$5,MAX(0,$E665+$H665)),2))</f>
        <v/>
      </c>
      <c r="G665" s="25" t="str">
        <f>IF($E665="","",ROUND(MIN(Inputs!$B$10,MAX(0,$E665+$H665-$F665)),2))</f>
        <v/>
      </c>
      <c r="H665" s="25" t="str">
        <f>IF($E665="","",ROUND(IF(Inputs!$B$12="Daily Simple Interest",$E665*Inputs!$B$6/Inputs!$B$17*$D665,$E665*Inputs!$B$6/Inputs!$B$19),2))</f>
        <v/>
      </c>
      <c r="I665" s="25" t="str">
        <f t="shared" si="99"/>
        <v/>
      </c>
      <c r="J665" s="25" t="str">
        <f>IF($E665="","",IF($F665+$G665&gt;0,Inputs!$B$11,0))</f>
        <v/>
      </c>
      <c r="K665" s="25" t="str">
        <f t="shared" si="100"/>
        <v/>
      </c>
      <c r="L665" s="25" t="str">
        <f t="shared" si="101"/>
        <v/>
      </c>
      <c r="M665" s="25" t="str">
        <f t="shared" si="102"/>
        <v/>
      </c>
      <c r="N665" s="84" t="str">
        <f t="shared" si="103"/>
        <v/>
      </c>
      <c r="O665" s="23" t="str">
        <f t="shared" si="104"/>
        <v/>
      </c>
    </row>
    <row r="666" spans="1:15" ht="20" customHeight="1">
      <c r="A666" s="22" t="str">
        <f t="shared" si="96"/>
        <v/>
      </c>
      <c r="B666" s="23" t="str">
        <f>IF($E666="","",320)</f>
        <v/>
      </c>
      <c r="C666" s="24" t="str">
        <f>IF($E666="","",EDATE(Inputs!$B$9,INT(319/2))+IF(MOD(319,2)=0,0,Inputs!$B$22))</f>
        <v/>
      </c>
      <c r="D666" s="23" t="str">
        <f t="shared" si="97"/>
        <v/>
      </c>
      <c r="E666" s="25" t="str">
        <f t="shared" si="98"/>
        <v/>
      </c>
      <c r="F666" s="25" t="str">
        <f>IF($E666="","",ROUND(MIN(Comparison!$C$5,MAX(0,$E666+$H666)),2))</f>
        <v/>
      </c>
      <c r="G666" s="25" t="str">
        <f>IF($E666="","",ROUND(MIN(Inputs!$B$10,MAX(0,$E666+$H666-$F666)),2))</f>
        <v/>
      </c>
      <c r="H666" s="25" t="str">
        <f>IF($E666="","",ROUND(IF(Inputs!$B$12="Daily Simple Interest",$E666*Inputs!$B$6/Inputs!$B$17*$D666,$E666*Inputs!$B$6/Inputs!$B$19),2))</f>
        <v/>
      </c>
      <c r="I666" s="25" t="str">
        <f t="shared" si="99"/>
        <v/>
      </c>
      <c r="J666" s="25" t="str">
        <f>IF($E666="","",IF($F666+$G666&gt;0,Inputs!$B$11,0))</f>
        <v/>
      </c>
      <c r="K666" s="25" t="str">
        <f t="shared" si="100"/>
        <v/>
      </c>
      <c r="L666" s="25" t="str">
        <f t="shared" si="101"/>
        <v/>
      </c>
      <c r="M666" s="25" t="str">
        <f t="shared" si="102"/>
        <v/>
      </c>
      <c r="N666" s="84" t="str">
        <f t="shared" si="103"/>
        <v/>
      </c>
      <c r="O666" s="23" t="str">
        <f t="shared" si="104"/>
        <v/>
      </c>
    </row>
    <row r="667" spans="1:15" ht="20" customHeight="1">
      <c r="A667" s="22" t="str">
        <f t="shared" ref="A667:A686" si="105">IF($E667="","","Twice Monthly")</f>
        <v/>
      </c>
      <c r="B667" s="23" t="str">
        <f>IF($E667="","",321)</f>
        <v/>
      </c>
      <c r="C667" s="24" t="str">
        <f>IF($E667="","",EDATE(Inputs!$B$9,INT(320/2))+IF(MOD(320,2)=0,0,Inputs!$B$22))</f>
        <v/>
      </c>
      <c r="D667" s="23" t="str">
        <f t="shared" si="97"/>
        <v/>
      </c>
      <c r="E667" s="25" t="str">
        <f t="shared" si="98"/>
        <v/>
      </c>
      <c r="F667" s="25" t="str">
        <f>IF($E667="","",ROUND(MIN(Comparison!$C$5,MAX(0,$E667+$H667)),2))</f>
        <v/>
      </c>
      <c r="G667" s="25" t="str">
        <f>IF($E667="","",ROUND(MIN(Inputs!$B$10,MAX(0,$E667+$H667-$F667)),2))</f>
        <v/>
      </c>
      <c r="H667" s="25" t="str">
        <f>IF($E667="","",ROUND(IF(Inputs!$B$12="Daily Simple Interest",$E667*Inputs!$B$6/Inputs!$B$17*$D667,$E667*Inputs!$B$6/Inputs!$B$19),2))</f>
        <v/>
      </c>
      <c r="I667" s="25" t="str">
        <f t="shared" si="99"/>
        <v/>
      </c>
      <c r="J667" s="25" t="str">
        <f>IF($E667="","",IF($F667+$G667&gt;0,Inputs!$B$11,0))</f>
        <v/>
      </c>
      <c r="K667" s="25" t="str">
        <f t="shared" si="100"/>
        <v/>
      </c>
      <c r="L667" s="25" t="str">
        <f t="shared" si="101"/>
        <v/>
      </c>
      <c r="M667" s="25" t="str">
        <f t="shared" si="102"/>
        <v/>
      </c>
      <c r="N667" s="84" t="str">
        <f t="shared" si="103"/>
        <v/>
      </c>
      <c r="O667" s="23" t="str">
        <f t="shared" si="104"/>
        <v/>
      </c>
    </row>
    <row r="668" spans="1:15" ht="20" customHeight="1">
      <c r="A668" s="22" t="str">
        <f t="shared" si="105"/>
        <v/>
      </c>
      <c r="B668" s="23" t="str">
        <f>IF($E668="","",322)</f>
        <v/>
      </c>
      <c r="C668" s="24" t="str">
        <f>IF($E668="","",EDATE(Inputs!$B$9,INT(321/2))+IF(MOD(321,2)=0,0,Inputs!$B$22))</f>
        <v/>
      </c>
      <c r="D668" s="23" t="str">
        <f t="shared" ref="D668:D686" si="106">IF($E668="","",$C668-$C667)</f>
        <v/>
      </c>
      <c r="E668" s="25" t="str">
        <f t="shared" ref="E668:E686" si="107">IF($K667&gt;0.005,$K667,"")</f>
        <v/>
      </c>
      <c r="F668" s="25" t="str">
        <f>IF($E668="","",ROUND(MIN(Comparison!$C$5,MAX(0,$E668+$H668)),2))</f>
        <v/>
      </c>
      <c r="G668" s="25" t="str">
        <f>IF($E668="","",ROUND(MIN(Inputs!$B$10,MAX(0,$E668+$H668-$F668)),2))</f>
        <v/>
      </c>
      <c r="H668" s="25" t="str">
        <f>IF($E668="","",ROUND(IF(Inputs!$B$12="Daily Simple Interest",$E668*Inputs!$B$6/Inputs!$B$17*$D668,$E668*Inputs!$B$6/Inputs!$B$19),2))</f>
        <v/>
      </c>
      <c r="I668" s="25" t="str">
        <f t="shared" si="99"/>
        <v/>
      </c>
      <c r="J668" s="25" t="str">
        <f>IF($E668="","",IF($F668+$G668&gt;0,Inputs!$B$11,0))</f>
        <v/>
      </c>
      <c r="K668" s="25" t="str">
        <f t="shared" si="100"/>
        <v/>
      </c>
      <c r="L668" s="25" t="str">
        <f t="shared" si="101"/>
        <v/>
      </c>
      <c r="M668" s="25" t="str">
        <f t="shared" si="102"/>
        <v/>
      </c>
      <c r="N668" s="84" t="str">
        <f t="shared" si="103"/>
        <v/>
      </c>
      <c r="O668" s="23" t="str">
        <f t="shared" si="104"/>
        <v/>
      </c>
    </row>
    <row r="669" spans="1:15" ht="20" customHeight="1">
      <c r="A669" s="22" t="str">
        <f t="shared" si="105"/>
        <v/>
      </c>
      <c r="B669" s="23" t="str">
        <f>IF($E669="","",323)</f>
        <v/>
      </c>
      <c r="C669" s="24" t="str">
        <f>IF($E669="","",EDATE(Inputs!$B$9,INT(322/2))+IF(MOD(322,2)=0,0,Inputs!$B$22))</f>
        <v/>
      </c>
      <c r="D669" s="23" t="str">
        <f t="shared" si="106"/>
        <v/>
      </c>
      <c r="E669" s="25" t="str">
        <f t="shared" si="107"/>
        <v/>
      </c>
      <c r="F669" s="25" t="str">
        <f>IF($E669="","",ROUND(MIN(Comparison!$C$5,MAX(0,$E669+$H669)),2))</f>
        <v/>
      </c>
      <c r="G669" s="25" t="str">
        <f>IF($E669="","",ROUND(MIN(Inputs!$B$10,MAX(0,$E669+$H669-$F669)),2))</f>
        <v/>
      </c>
      <c r="H669" s="25" t="str">
        <f>IF($E669="","",ROUND(IF(Inputs!$B$12="Daily Simple Interest",$E669*Inputs!$B$6/Inputs!$B$17*$D669,$E669*Inputs!$B$6/Inputs!$B$19),2))</f>
        <v/>
      </c>
      <c r="I669" s="25" t="str">
        <f t="shared" si="99"/>
        <v/>
      </c>
      <c r="J669" s="25" t="str">
        <f>IF($E669="","",IF($F669+$G669&gt;0,Inputs!$B$11,0))</f>
        <v/>
      </c>
      <c r="K669" s="25" t="str">
        <f t="shared" si="100"/>
        <v/>
      </c>
      <c r="L669" s="25" t="str">
        <f t="shared" si="101"/>
        <v/>
      </c>
      <c r="M669" s="25" t="str">
        <f t="shared" si="102"/>
        <v/>
      </c>
      <c r="N669" s="84" t="str">
        <f t="shared" si="103"/>
        <v/>
      </c>
      <c r="O669" s="23" t="str">
        <f t="shared" si="104"/>
        <v/>
      </c>
    </row>
    <row r="670" spans="1:15" ht="20" customHeight="1">
      <c r="A670" s="22" t="str">
        <f t="shared" si="105"/>
        <v/>
      </c>
      <c r="B670" s="23" t="str">
        <f>IF($E670="","",324)</f>
        <v/>
      </c>
      <c r="C670" s="24" t="str">
        <f>IF($E670="","",EDATE(Inputs!$B$9,INT(323/2))+IF(MOD(323,2)=0,0,Inputs!$B$22))</f>
        <v/>
      </c>
      <c r="D670" s="23" t="str">
        <f t="shared" si="106"/>
        <v/>
      </c>
      <c r="E670" s="25" t="str">
        <f t="shared" si="107"/>
        <v/>
      </c>
      <c r="F670" s="25" t="str">
        <f>IF($E670="","",ROUND(MIN(Comparison!$C$5,MAX(0,$E670+$H670)),2))</f>
        <v/>
      </c>
      <c r="G670" s="25" t="str">
        <f>IF($E670="","",ROUND(MIN(Inputs!$B$10,MAX(0,$E670+$H670-$F670)),2))</f>
        <v/>
      </c>
      <c r="H670" s="25" t="str">
        <f>IF($E670="","",ROUND(IF(Inputs!$B$12="Daily Simple Interest",$E670*Inputs!$B$6/Inputs!$B$17*$D670,$E670*Inputs!$B$6/Inputs!$B$19),2))</f>
        <v/>
      </c>
      <c r="I670" s="25" t="str">
        <f t="shared" si="99"/>
        <v/>
      </c>
      <c r="J670" s="25" t="str">
        <f>IF($E670="","",IF($F670+$G670&gt;0,Inputs!$B$11,0))</f>
        <v/>
      </c>
      <c r="K670" s="25" t="str">
        <f t="shared" si="100"/>
        <v/>
      </c>
      <c r="L670" s="25" t="str">
        <f t="shared" si="101"/>
        <v/>
      </c>
      <c r="M670" s="25" t="str">
        <f t="shared" si="102"/>
        <v/>
      </c>
      <c r="N670" s="84" t="str">
        <f t="shared" si="103"/>
        <v/>
      </c>
      <c r="O670" s="23" t="str">
        <f t="shared" si="104"/>
        <v/>
      </c>
    </row>
    <row r="671" spans="1:15" ht="20" customHeight="1">
      <c r="A671" s="22" t="str">
        <f t="shared" si="105"/>
        <v/>
      </c>
      <c r="B671" s="23" t="str">
        <f>IF($E671="","",325)</f>
        <v/>
      </c>
      <c r="C671" s="24" t="str">
        <f>IF($E671="","",EDATE(Inputs!$B$9,INT(324/2))+IF(MOD(324,2)=0,0,Inputs!$B$22))</f>
        <v/>
      </c>
      <c r="D671" s="23" t="str">
        <f t="shared" si="106"/>
        <v/>
      </c>
      <c r="E671" s="25" t="str">
        <f t="shared" si="107"/>
        <v/>
      </c>
      <c r="F671" s="25" t="str">
        <f>IF($E671="","",ROUND(MIN(Comparison!$C$5,MAX(0,$E671+$H671)),2))</f>
        <v/>
      </c>
      <c r="G671" s="25" t="str">
        <f>IF($E671="","",ROUND(MIN(Inputs!$B$10,MAX(0,$E671+$H671-$F671)),2))</f>
        <v/>
      </c>
      <c r="H671" s="25" t="str">
        <f>IF($E671="","",ROUND(IF(Inputs!$B$12="Daily Simple Interest",$E671*Inputs!$B$6/Inputs!$B$17*$D671,$E671*Inputs!$B$6/Inputs!$B$19),2))</f>
        <v/>
      </c>
      <c r="I671" s="25" t="str">
        <f t="shared" si="99"/>
        <v/>
      </c>
      <c r="J671" s="25" t="str">
        <f>IF($E671="","",IF($F671+$G671&gt;0,Inputs!$B$11,0))</f>
        <v/>
      </c>
      <c r="K671" s="25" t="str">
        <f t="shared" si="100"/>
        <v/>
      </c>
      <c r="L671" s="25" t="str">
        <f t="shared" si="101"/>
        <v/>
      </c>
      <c r="M671" s="25" t="str">
        <f t="shared" si="102"/>
        <v/>
      </c>
      <c r="N671" s="84" t="str">
        <f t="shared" si="103"/>
        <v/>
      </c>
      <c r="O671" s="23" t="str">
        <f t="shared" si="104"/>
        <v/>
      </c>
    </row>
    <row r="672" spans="1:15" ht="20" customHeight="1">
      <c r="A672" s="22" t="str">
        <f t="shared" si="105"/>
        <v/>
      </c>
      <c r="B672" s="23" t="str">
        <f>IF($E672="","",326)</f>
        <v/>
      </c>
      <c r="C672" s="24" t="str">
        <f>IF($E672="","",EDATE(Inputs!$B$9,INT(325/2))+IF(MOD(325,2)=0,0,Inputs!$B$22))</f>
        <v/>
      </c>
      <c r="D672" s="23" t="str">
        <f t="shared" si="106"/>
        <v/>
      </c>
      <c r="E672" s="25" t="str">
        <f t="shared" si="107"/>
        <v/>
      </c>
      <c r="F672" s="25" t="str">
        <f>IF($E672="","",ROUND(MIN(Comparison!$C$5,MAX(0,$E672+$H672)),2))</f>
        <v/>
      </c>
      <c r="G672" s="25" t="str">
        <f>IF($E672="","",ROUND(MIN(Inputs!$B$10,MAX(0,$E672+$H672-$F672)),2))</f>
        <v/>
      </c>
      <c r="H672" s="25" t="str">
        <f>IF($E672="","",ROUND(IF(Inputs!$B$12="Daily Simple Interest",$E672*Inputs!$B$6/Inputs!$B$17*$D672,$E672*Inputs!$B$6/Inputs!$B$19),2))</f>
        <v/>
      </c>
      <c r="I672" s="25" t="str">
        <f t="shared" si="99"/>
        <v/>
      </c>
      <c r="J672" s="25" t="str">
        <f>IF($E672="","",IF($F672+$G672&gt;0,Inputs!$B$11,0))</f>
        <v/>
      </c>
      <c r="K672" s="25" t="str">
        <f t="shared" si="100"/>
        <v/>
      </c>
      <c r="L672" s="25" t="str">
        <f t="shared" si="101"/>
        <v/>
      </c>
      <c r="M672" s="25" t="str">
        <f t="shared" si="102"/>
        <v/>
      </c>
      <c r="N672" s="84" t="str">
        <f t="shared" si="103"/>
        <v/>
      </c>
      <c r="O672" s="23" t="str">
        <f t="shared" si="104"/>
        <v/>
      </c>
    </row>
    <row r="673" spans="1:15" ht="20" customHeight="1">
      <c r="A673" s="22" t="str">
        <f t="shared" si="105"/>
        <v/>
      </c>
      <c r="B673" s="23" t="str">
        <f>IF($E673="","",327)</f>
        <v/>
      </c>
      <c r="C673" s="24" t="str">
        <f>IF($E673="","",EDATE(Inputs!$B$9,INT(326/2))+IF(MOD(326,2)=0,0,Inputs!$B$22))</f>
        <v/>
      </c>
      <c r="D673" s="23" t="str">
        <f t="shared" si="106"/>
        <v/>
      </c>
      <c r="E673" s="25" t="str">
        <f t="shared" si="107"/>
        <v/>
      </c>
      <c r="F673" s="25" t="str">
        <f>IF($E673="","",ROUND(MIN(Comparison!$C$5,MAX(0,$E673+$H673)),2))</f>
        <v/>
      </c>
      <c r="G673" s="25" t="str">
        <f>IF($E673="","",ROUND(MIN(Inputs!$B$10,MAX(0,$E673+$H673-$F673)),2))</f>
        <v/>
      </c>
      <c r="H673" s="25" t="str">
        <f>IF($E673="","",ROUND(IF(Inputs!$B$12="Daily Simple Interest",$E673*Inputs!$B$6/Inputs!$B$17*$D673,$E673*Inputs!$B$6/Inputs!$B$19),2))</f>
        <v/>
      </c>
      <c r="I673" s="25" t="str">
        <f t="shared" si="99"/>
        <v/>
      </c>
      <c r="J673" s="25" t="str">
        <f>IF($E673="","",IF($F673+$G673&gt;0,Inputs!$B$11,0))</f>
        <v/>
      </c>
      <c r="K673" s="25" t="str">
        <f t="shared" si="100"/>
        <v/>
      </c>
      <c r="L673" s="25" t="str">
        <f t="shared" si="101"/>
        <v/>
      </c>
      <c r="M673" s="25" t="str">
        <f t="shared" si="102"/>
        <v/>
      </c>
      <c r="N673" s="84" t="str">
        <f t="shared" si="103"/>
        <v/>
      </c>
      <c r="O673" s="23" t="str">
        <f t="shared" si="104"/>
        <v/>
      </c>
    </row>
    <row r="674" spans="1:15" ht="20" customHeight="1">
      <c r="A674" s="22" t="str">
        <f t="shared" si="105"/>
        <v/>
      </c>
      <c r="B674" s="23" t="str">
        <f>IF($E674="","",328)</f>
        <v/>
      </c>
      <c r="C674" s="24" t="str">
        <f>IF($E674="","",EDATE(Inputs!$B$9,INT(327/2))+IF(MOD(327,2)=0,0,Inputs!$B$22))</f>
        <v/>
      </c>
      <c r="D674" s="23" t="str">
        <f t="shared" si="106"/>
        <v/>
      </c>
      <c r="E674" s="25" t="str">
        <f t="shared" si="107"/>
        <v/>
      </c>
      <c r="F674" s="25" t="str">
        <f>IF($E674="","",ROUND(MIN(Comparison!$C$5,MAX(0,$E674+$H674)),2))</f>
        <v/>
      </c>
      <c r="G674" s="25" t="str">
        <f>IF($E674="","",ROUND(MIN(Inputs!$B$10,MAX(0,$E674+$H674-$F674)),2))</f>
        <v/>
      </c>
      <c r="H674" s="25" t="str">
        <f>IF($E674="","",ROUND(IF(Inputs!$B$12="Daily Simple Interest",$E674*Inputs!$B$6/Inputs!$B$17*$D674,$E674*Inputs!$B$6/Inputs!$B$19),2))</f>
        <v/>
      </c>
      <c r="I674" s="25" t="str">
        <f t="shared" si="99"/>
        <v/>
      </c>
      <c r="J674" s="25" t="str">
        <f>IF($E674="","",IF($F674+$G674&gt;0,Inputs!$B$11,0))</f>
        <v/>
      </c>
      <c r="K674" s="25" t="str">
        <f t="shared" si="100"/>
        <v/>
      </c>
      <c r="L674" s="25" t="str">
        <f t="shared" si="101"/>
        <v/>
      </c>
      <c r="M674" s="25" t="str">
        <f t="shared" si="102"/>
        <v/>
      </c>
      <c r="N674" s="84" t="str">
        <f t="shared" si="103"/>
        <v/>
      </c>
      <c r="O674" s="23" t="str">
        <f t="shared" si="104"/>
        <v/>
      </c>
    </row>
    <row r="675" spans="1:15" ht="20" customHeight="1">
      <c r="A675" s="22" t="str">
        <f t="shared" si="105"/>
        <v/>
      </c>
      <c r="B675" s="23" t="str">
        <f>IF($E675="","",329)</f>
        <v/>
      </c>
      <c r="C675" s="24" t="str">
        <f>IF($E675="","",EDATE(Inputs!$B$9,INT(328/2))+IF(MOD(328,2)=0,0,Inputs!$B$22))</f>
        <v/>
      </c>
      <c r="D675" s="23" t="str">
        <f t="shared" si="106"/>
        <v/>
      </c>
      <c r="E675" s="25" t="str">
        <f t="shared" si="107"/>
        <v/>
      </c>
      <c r="F675" s="25" t="str">
        <f>IF($E675="","",ROUND(MIN(Comparison!$C$5,MAX(0,$E675+$H675)),2))</f>
        <v/>
      </c>
      <c r="G675" s="25" t="str">
        <f>IF($E675="","",ROUND(MIN(Inputs!$B$10,MAX(0,$E675+$H675-$F675)),2))</f>
        <v/>
      </c>
      <c r="H675" s="25" t="str">
        <f>IF($E675="","",ROUND(IF(Inputs!$B$12="Daily Simple Interest",$E675*Inputs!$B$6/Inputs!$B$17*$D675,$E675*Inputs!$B$6/Inputs!$B$19),2))</f>
        <v/>
      </c>
      <c r="I675" s="25" t="str">
        <f t="shared" si="99"/>
        <v/>
      </c>
      <c r="J675" s="25" t="str">
        <f>IF($E675="","",IF($F675+$G675&gt;0,Inputs!$B$11,0))</f>
        <v/>
      </c>
      <c r="K675" s="25" t="str">
        <f t="shared" si="100"/>
        <v/>
      </c>
      <c r="L675" s="25" t="str">
        <f t="shared" si="101"/>
        <v/>
      </c>
      <c r="M675" s="25" t="str">
        <f t="shared" si="102"/>
        <v/>
      </c>
      <c r="N675" s="84" t="str">
        <f t="shared" si="103"/>
        <v/>
      </c>
      <c r="O675" s="23" t="str">
        <f t="shared" si="104"/>
        <v/>
      </c>
    </row>
    <row r="676" spans="1:15" ht="20" customHeight="1">
      <c r="A676" s="22" t="str">
        <f t="shared" si="105"/>
        <v/>
      </c>
      <c r="B676" s="23" t="str">
        <f>IF($E676="","",330)</f>
        <v/>
      </c>
      <c r="C676" s="24" t="str">
        <f>IF($E676="","",EDATE(Inputs!$B$9,INT(329/2))+IF(MOD(329,2)=0,0,Inputs!$B$22))</f>
        <v/>
      </c>
      <c r="D676" s="23" t="str">
        <f t="shared" si="106"/>
        <v/>
      </c>
      <c r="E676" s="25" t="str">
        <f t="shared" si="107"/>
        <v/>
      </c>
      <c r="F676" s="25" t="str">
        <f>IF($E676="","",ROUND(MIN(Comparison!$C$5,MAX(0,$E676+$H676)),2))</f>
        <v/>
      </c>
      <c r="G676" s="25" t="str">
        <f>IF($E676="","",ROUND(MIN(Inputs!$B$10,MAX(0,$E676+$H676-$F676)),2))</f>
        <v/>
      </c>
      <c r="H676" s="25" t="str">
        <f>IF($E676="","",ROUND(IF(Inputs!$B$12="Daily Simple Interest",$E676*Inputs!$B$6/Inputs!$B$17*$D676,$E676*Inputs!$B$6/Inputs!$B$19),2))</f>
        <v/>
      </c>
      <c r="I676" s="25" t="str">
        <f t="shared" si="99"/>
        <v/>
      </c>
      <c r="J676" s="25" t="str">
        <f>IF($E676="","",IF($F676+$G676&gt;0,Inputs!$B$11,0))</f>
        <v/>
      </c>
      <c r="K676" s="25" t="str">
        <f t="shared" si="100"/>
        <v/>
      </c>
      <c r="L676" s="25" t="str">
        <f t="shared" si="101"/>
        <v/>
      </c>
      <c r="M676" s="25" t="str">
        <f t="shared" si="102"/>
        <v/>
      </c>
      <c r="N676" s="84" t="str">
        <f t="shared" si="103"/>
        <v/>
      </c>
      <c r="O676" s="23" t="str">
        <f t="shared" si="104"/>
        <v/>
      </c>
    </row>
    <row r="677" spans="1:15" ht="20" customHeight="1">
      <c r="A677" s="22" t="str">
        <f t="shared" si="105"/>
        <v/>
      </c>
      <c r="B677" s="23" t="str">
        <f>IF($E677="","",331)</f>
        <v/>
      </c>
      <c r="C677" s="24" t="str">
        <f>IF($E677="","",EDATE(Inputs!$B$9,INT(330/2))+IF(MOD(330,2)=0,0,Inputs!$B$22))</f>
        <v/>
      </c>
      <c r="D677" s="23" t="str">
        <f t="shared" si="106"/>
        <v/>
      </c>
      <c r="E677" s="25" t="str">
        <f t="shared" si="107"/>
        <v/>
      </c>
      <c r="F677" s="25" t="str">
        <f>IF($E677="","",ROUND(MIN(Comparison!$C$5,MAX(0,$E677+$H677)),2))</f>
        <v/>
      </c>
      <c r="G677" s="25" t="str">
        <f>IF($E677="","",ROUND(MIN(Inputs!$B$10,MAX(0,$E677+$H677-$F677)),2))</f>
        <v/>
      </c>
      <c r="H677" s="25" t="str">
        <f>IF($E677="","",ROUND(IF(Inputs!$B$12="Daily Simple Interest",$E677*Inputs!$B$6/Inputs!$B$17*$D677,$E677*Inputs!$B$6/Inputs!$B$19),2))</f>
        <v/>
      </c>
      <c r="I677" s="25" t="str">
        <f t="shared" si="99"/>
        <v/>
      </c>
      <c r="J677" s="25" t="str">
        <f>IF($E677="","",IF($F677+$G677&gt;0,Inputs!$B$11,0))</f>
        <v/>
      </c>
      <c r="K677" s="25" t="str">
        <f t="shared" si="100"/>
        <v/>
      </c>
      <c r="L677" s="25" t="str">
        <f t="shared" si="101"/>
        <v/>
      </c>
      <c r="M677" s="25" t="str">
        <f t="shared" si="102"/>
        <v/>
      </c>
      <c r="N677" s="84" t="str">
        <f t="shared" si="103"/>
        <v/>
      </c>
      <c r="O677" s="23" t="str">
        <f t="shared" si="104"/>
        <v/>
      </c>
    </row>
    <row r="678" spans="1:15" ht="20" customHeight="1">
      <c r="A678" s="22" t="str">
        <f t="shared" si="105"/>
        <v/>
      </c>
      <c r="B678" s="23" t="str">
        <f>IF($E678="","",332)</f>
        <v/>
      </c>
      <c r="C678" s="24" t="str">
        <f>IF($E678="","",EDATE(Inputs!$B$9,INT(331/2))+IF(MOD(331,2)=0,0,Inputs!$B$22))</f>
        <v/>
      </c>
      <c r="D678" s="23" t="str">
        <f t="shared" si="106"/>
        <v/>
      </c>
      <c r="E678" s="25" t="str">
        <f t="shared" si="107"/>
        <v/>
      </c>
      <c r="F678" s="25" t="str">
        <f>IF($E678="","",ROUND(MIN(Comparison!$C$5,MAX(0,$E678+$H678)),2))</f>
        <v/>
      </c>
      <c r="G678" s="25" t="str">
        <f>IF($E678="","",ROUND(MIN(Inputs!$B$10,MAX(0,$E678+$H678-$F678)),2))</f>
        <v/>
      </c>
      <c r="H678" s="25" t="str">
        <f>IF($E678="","",ROUND(IF(Inputs!$B$12="Daily Simple Interest",$E678*Inputs!$B$6/Inputs!$B$17*$D678,$E678*Inputs!$B$6/Inputs!$B$19),2))</f>
        <v/>
      </c>
      <c r="I678" s="25" t="str">
        <f t="shared" si="99"/>
        <v/>
      </c>
      <c r="J678" s="25" t="str">
        <f>IF($E678="","",IF($F678+$G678&gt;0,Inputs!$B$11,0))</f>
        <v/>
      </c>
      <c r="K678" s="25" t="str">
        <f t="shared" si="100"/>
        <v/>
      </c>
      <c r="L678" s="25" t="str">
        <f t="shared" si="101"/>
        <v/>
      </c>
      <c r="M678" s="25" t="str">
        <f t="shared" si="102"/>
        <v/>
      </c>
      <c r="N678" s="84" t="str">
        <f t="shared" si="103"/>
        <v/>
      </c>
      <c r="O678" s="23" t="str">
        <f t="shared" si="104"/>
        <v/>
      </c>
    </row>
    <row r="679" spans="1:15" ht="20" customHeight="1">
      <c r="A679" s="22" t="str">
        <f t="shared" si="105"/>
        <v/>
      </c>
      <c r="B679" s="23" t="str">
        <f>IF($E679="","",333)</f>
        <v/>
      </c>
      <c r="C679" s="24" t="str">
        <f>IF($E679="","",EDATE(Inputs!$B$9,INT(332/2))+IF(MOD(332,2)=0,0,Inputs!$B$22))</f>
        <v/>
      </c>
      <c r="D679" s="23" t="str">
        <f t="shared" si="106"/>
        <v/>
      </c>
      <c r="E679" s="25" t="str">
        <f t="shared" si="107"/>
        <v/>
      </c>
      <c r="F679" s="25" t="str">
        <f>IF($E679="","",ROUND(MIN(Comparison!$C$5,MAX(0,$E679+$H679)),2))</f>
        <v/>
      </c>
      <c r="G679" s="25" t="str">
        <f>IF($E679="","",ROUND(MIN(Inputs!$B$10,MAX(0,$E679+$H679-$F679)),2))</f>
        <v/>
      </c>
      <c r="H679" s="25" t="str">
        <f>IF($E679="","",ROUND(IF(Inputs!$B$12="Daily Simple Interest",$E679*Inputs!$B$6/Inputs!$B$17*$D679,$E679*Inputs!$B$6/Inputs!$B$19),2))</f>
        <v/>
      </c>
      <c r="I679" s="25" t="str">
        <f t="shared" si="99"/>
        <v/>
      </c>
      <c r="J679" s="25" t="str">
        <f>IF($E679="","",IF($F679+$G679&gt;0,Inputs!$B$11,0))</f>
        <v/>
      </c>
      <c r="K679" s="25" t="str">
        <f t="shared" si="100"/>
        <v/>
      </c>
      <c r="L679" s="25" t="str">
        <f t="shared" si="101"/>
        <v/>
      </c>
      <c r="M679" s="25" t="str">
        <f t="shared" si="102"/>
        <v/>
      </c>
      <c r="N679" s="84" t="str">
        <f t="shared" si="103"/>
        <v/>
      </c>
      <c r="O679" s="23" t="str">
        <f t="shared" si="104"/>
        <v/>
      </c>
    </row>
    <row r="680" spans="1:15" ht="20" customHeight="1">
      <c r="A680" s="22" t="str">
        <f t="shared" si="105"/>
        <v/>
      </c>
      <c r="B680" s="23" t="str">
        <f>IF($E680="","",334)</f>
        <v/>
      </c>
      <c r="C680" s="24" t="str">
        <f>IF($E680="","",EDATE(Inputs!$B$9,INT(333/2))+IF(MOD(333,2)=0,0,Inputs!$B$22))</f>
        <v/>
      </c>
      <c r="D680" s="23" t="str">
        <f t="shared" si="106"/>
        <v/>
      </c>
      <c r="E680" s="25" t="str">
        <f t="shared" si="107"/>
        <v/>
      </c>
      <c r="F680" s="25" t="str">
        <f>IF($E680="","",ROUND(MIN(Comparison!$C$5,MAX(0,$E680+$H680)),2))</f>
        <v/>
      </c>
      <c r="G680" s="25" t="str">
        <f>IF($E680="","",ROUND(MIN(Inputs!$B$10,MAX(0,$E680+$H680-$F680)),2))</f>
        <v/>
      </c>
      <c r="H680" s="25" t="str">
        <f>IF($E680="","",ROUND(IF(Inputs!$B$12="Daily Simple Interest",$E680*Inputs!$B$6/Inputs!$B$17*$D680,$E680*Inputs!$B$6/Inputs!$B$19),2))</f>
        <v/>
      </c>
      <c r="I680" s="25" t="str">
        <f t="shared" si="99"/>
        <v/>
      </c>
      <c r="J680" s="25" t="str">
        <f>IF($E680="","",IF($F680+$G680&gt;0,Inputs!$B$11,0))</f>
        <v/>
      </c>
      <c r="K680" s="25" t="str">
        <f t="shared" si="100"/>
        <v/>
      </c>
      <c r="L680" s="25" t="str">
        <f t="shared" si="101"/>
        <v/>
      </c>
      <c r="M680" s="25" t="str">
        <f t="shared" si="102"/>
        <v/>
      </c>
      <c r="N680" s="84" t="str">
        <f t="shared" si="103"/>
        <v/>
      </c>
      <c r="O680" s="23" t="str">
        <f t="shared" si="104"/>
        <v/>
      </c>
    </row>
    <row r="681" spans="1:15" ht="20" customHeight="1">
      <c r="A681" s="22" t="str">
        <f t="shared" si="105"/>
        <v/>
      </c>
      <c r="B681" s="23" t="str">
        <f>IF($E681="","",335)</f>
        <v/>
      </c>
      <c r="C681" s="24" t="str">
        <f>IF($E681="","",EDATE(Inputs!$B$9,INT(334/2))+IF(MOD(334,2)=0,0,Inputs!$B$22))</f>
        <v/>
      </c>
      <c r="D681" s="23" t="str">
        <f t="shared" si="106"/>
        <v/>
      </c>
      <c r="E681" s="25" t="str">
        <f t="shared" si="107"/>
        <v/>
      </c>
      <c r="F681" s="25" t="str">
        <f>IF($E681="","",ROUND(MIN(Comparison!$C$5,MAX(0,$E681+$H681)),2))</f>
        <v/>
      </c>
      <c r="G681" s="25" t="str">
        <f>IF($E681="","",ROUND(MIN(Inputs!$B$10,MAX(0,$E681+$H681-$F681)),2))</f>
        <v/>
      </c>
      <c r="H681" s="25" t="str">
        <f>IF($E681="","",ROUND(IF(Inputs!$B$12="Daily Simple Interest",$E681*Inputs!$B$6/Inputs!$B$17*$D681,$E681*Inputs!$B$6/Inputs!$B$19),2))</f>
        <v/>
      </c>
      <c r="I681" s="25" t="str">
        <f t="shared" si="99"/>
        <v/>
      </c>
      <c r="J681" s="25" t="str">
        <f>IF($E681="","",IF($F681+$G681&gt;0,Inputs!$B$11,0))</f>
        <v/>
      </c>
      <c r="K681" s="25" t="str">
        <f t="shared" si="100"/>
        <v/>
      </c>
      <c r="L681" s="25" t="str">
        <f t="shared" si="101"/>
        <v/>
      </c>
      <c r="M681" s="25" t="str">
        <f t="shared" si="102"/>
        <v/>
      </c>
      <c r="N681" s="84" t="str">
        <f t="shared" si="103"/>
        <v/>
      </c>
      <c r="O681" s="23" t="str">
        <f t="shared" si="104"/>
        <v/>
      </c>
    </row>
    <row r="682" spans="1:15" ht="20" customHeight="1">
      <c r="A682" s="22" t="str">
        <f t="shared" si="105"/>
        <v/>
      </c>
      <c r="B682" s="23" t="str">
        <f>IF($E682="","",336)</f>
        <v/>
      </c>
      <c r="C682" s="24" t="str">
        <f>IF($E682="","",EDATE(Inputs!$B$9,INT(335/2))+IF(MOD(335,2)=0,0,Inputs!$B$22))</f>
        <v/>
      </c>
      <c r="D682" s="23" t="str">
        <f t="shared" si="106"/>
        <v/>
      </c>
      <c r="E682" s="25" t="str">
        <f t="shared" si="107"/>
        <v/>
      </c>
      <c r="F682" s="25" t="str">
        <f>IF($E682="","",ROUND(MIN(Comparison!$C$5,MAX(0,$E682+$H682)),2))</f>
        <v/>
      </c>
      <c r="G682" s="25" t="str">
        <f>IF($E682="","",ROUND(MIN(Inputs!$B$10,MAX(0,$E682+$H682-$F682)),2))</f>
        <v/>
      </c>
      <c r="H682" s="25" t="str">
        <f>IF($E682="","",ROUND(IF(Inputs!$B$12="Daily Simple Interest",$E682*Inputs!$B$6/Inputs!$B$17*$D682,$E682*Inputs!$B$6/Inputs!$B$19),2))</f>
        <v/>
      </c>
      <c r="I682" s="25" t="str">
        <f t="shared" si="99"/>
        <v/>
      </c>
      <c r="J682" s="25" t="str">
        <f>IF($E682="","",IF($F682+$G682&gt;0,Inputs!$B$11,0))</f>
        <v/>
      </c>
      <c r="K682" s="25" t="str">
        <f t="shared" si="100"/>
        <v/>
      </c>
      <c r="L682" s="25" t="str">
        <f t="shared" si="101"/>
        <v/>
      </c>
      <c r="M682" s="25" t="str">
        <f t="shared" si="102"/>
        <v/>
      </c>
      <c r="N682" s="84" t="str">
        <f t="shared" si="103"/>
        <v/>
      </c>
      <c r="O682" s="23" t="str">
        <f t="shared" si="104"/>
        <v/>
      </c>
    </row>
    <row r="683" spans="1:15" ht="20" customHeight="1">
      <c r="A683" s="22" t="str">
        <f t="shared" si="105"/>
        <v/>
      </c>
      <c r="B683" s="23" t="str">
        <f>IF($E683="","",337)</f>
        <v/>
      </c>
      <c r="C683" s="24" t="str">
        <f>IF($E683="","",EDATE(Inputs!$B$9,INT(336/2))+IF(MOD(336,2)=0,0,Inputs!$B$22))</f>
        <v/>
      </c>
      <c r="D683" s="23" t="str">
        <f t="shared" si="106"/>
        <v/>
      </c>
      <c r="E683" s="25" t="str">
        <f t="shared" si="107"/>
        <v/>
      </c>
      <c r="F683" s="25" t="str">
        <f>IF($E683="","",ROUND(MIN(Comparison!$C$5,MAX(0,$E683+$H683)),2))</f>
        <v/>
      </c>
      <c r="G683" s="25" t="str">
        <f>IF($E683="","",ROUND(MIN(Inputs!$B$10,MAX(0,$E683+$H683-$F683)),2))</f>
        <v/>
      </c>
      <c r="H683" s="25" t="str">
        <f>IF($E683="","",ROUND(IF(Inputs!$B$12="Daily Simple Interest",$E683*Inputs!$B$6/Inputs!$B$17*$D683,$E683*Inputs!$B$6/Inputs!$B$19),2))</f>
        <v/>
      </c>
      <c r="I683" s="25" t="str">
        <f t="shared" si="99"/>
        <v/>
      </c>
      <c r="J683" s="25" t="str">
        <f>IF($E683="","",IF($F683+$G683&gt;0,Inputs!$B$11,0))</f>
        <v/>
      </c>
      <c r="K683" s="25" t="str">
        <f t="shared" si="100"/>
        <v/>
      </c>
      <c r="L683" s="25" t="str">
        <f t="shared" si="101"/>
        <v/>
      </c>
      <c r="M683" s="25" t="str">
        <f t="shared" si="102"/>
        <v/>
      </c>
      <c r="N683" s="84" t="str">
        <f t="shared" si="103"/>
        <v/>
      </c>
      <c r="O683" s="23" t="str">
        <f t="shared" si="104"/>
        <v/>
      </c>
    </row>
    <row r="684" spans="1:15" ht="20" customHeight="1">
      <c r="A684" s="22" t="str">
        <f t="shared" si="105"/>
        <v/>
      </c>
      <c r="B684" s="23" t="str">
        <f>IF($E684="","",338)</f>
        <v/>
      </c>
      <c r="C684" s="24" t="str">
        <f>IF($E684="","",EDATE(Inputs!$B$9,INT(337/2))+IF(MOD(337,2)=0,0,Inputs!$B$22))</f>
        <v/>
      </c>
      <c r="D684" s="23" t="str">
        <f t="shared" si="106"/>
        <v/>
      </c>
      <c r="E684" s="25" t="str">
        <f t="shared" si="107"/>
        <v/>
      </c>
      <c r="F684" s="25" t="str">
        <f>IF($E684="","",ROUND(MIN(Comparison!$C$5,MAX(0,$E684+$H684)),2))</f>
        <v/>
      </c>
      <c r="G684" s="25" t="str">
        <f>IF($E684="","",ROUND(MIN(Inputs!$B$10,MAX(0,$E684+$H684-$F684)),2))</f>
        <v/>
      </c>
      <c r="H684" s="25" t="str">
        <f>IF($E684="","",ROUND(IF(Inputs!$B$12="Daily Simple Interest",$E684*Inputs!$B$6/Inputs!$B$17*$D684,$E684*Inputs!$B$6/Inputs!$B$19),2))</f>
        <v/>
      </c>
      <c r="I684" s="25" t="str">
        <f t="shared" si="99"/>
        <v/>
      </c>
      <c r="J684" s="25" t="str">
        <f>IF($E684="","",IF($F684+$G684&gt;0,Inputs!$B$11,0))</f>
        <v/>
      </c>
      <c r="K684" s="25" t="str">
        <f t="shared" si="100"/>
        <v/>
      </c>
      <c r="L684" s="25" t="str">
        <f t="shared" si="101"/>
        <v/>
      </c>
      <c r="M684" s="25" t="str">
        <f t="shared" si="102"/>
        <v/>
      </c>
      <c r="N684" s="84" t="str">
        <f t="shared" si="103"/>
        <v/>
      </c>
      <c r="O684" s="23" t="str">
        <f t="shared" si="104"/>
        <v/>
      </c>
    </row>
    <row r="685" spans="1:15" ht="20" customHeight="1">
      <c r="A685" s="22" t="str">
        <f t="shared" si="105"/>
        <v/>
      </c>
      <c r="B685" s="23" t="str">
        <f>IF($E685="","",339)</f>
        <v/>
      </c>
      <c r="C685" s="24" t="str">
        <f>IF($E685="","",EDATE(Inputs!$B$9,INT(338/2))+IF(MOD(338,2)=0,0,Inputs!$B$22))</f>
        <v/>
      </c>
      <c r="D685" s="23" t="str">
        <f t="shared" si="106"/>
        <v/>
      </c>
      <c r="E685" s="25" t="str">
        <f t="shared" si="107"/>
        <v/>
      </c>
      <c r="F685" s="25" t="str">
        <f>IF($E685="","",ROUND(MIN(Comparison!$C$5,MAX(0,$E685+$H685)),2))</f>
        <v/>
      </c>
      <c r="G685" s="25" t="str">
        <f>IF($E685="","",ROUND(MIN(Inputs!$B$10,MAX(0,$E685+$H685-$F685)),2))</f>
        <v/>
      </c>
      <c r="H685" s="25" t="str">
        <f>IF($E685="","",ROUND(IF(Inputs!$B$12="Daily Simple Interest",$E685*Inputs!$B$6/Inputs!$B$17*$D685,$E685*Inputs!$B$6/Inputs!$B$19),2))</f>
        <v/>
      </c>
      <c r="I685" s="25" t="str">
        <f t="shared" si="99"/>
        <v/>
      </c>
      <c r="J685" s="25" t="str">
        <f>IF($E685="","",IF($F685+$G685&gt;0,Inputs!$B$11,0))</f>
        <v/>
      </c>
      <c r="K685" s="25" t="str">
        <f t="shared" si="100"/>
        <v/>
      </c>
      <c r="L685" s="25" t="str">
        <f t="shared" si="101"/>
        <v/>
      </c>
      <c r="M685" s="25" t="str">
        <f t="shared" si="102"/>
        <v/>
      </c>
      <c r="N685" s="84" t="str">
        <f t="shared" si="103"/>
        <v/>
      </c>
      <c r="O685" s="23" t="str">
        <f t="shared" si="104"/>
        <v/>
      </c>
    </row>
    <row r="686" spans="1:15" ht="20" customHeight="1">
      <c r="A686" s="22" t="str">
        <f t="shared" si="105"/>
        <v/>
      </c>
      <c r="B686" s="23" t="str">
        <f>IF($E686="","",340)</f>
        <v/>
      </c>
      <c r="C686" s="24" t="str">
        <f>IF($E686="","",EDATE(Inputs!$B$9,INT(339/2))+IF(MOD(339,2)=0,0,Inputs!$B$22))</f>
        <v/>
      </c>
      <c r="D686" s="23" t="str">
        <f t="shared" si="106"/>
        <v/>
      </c>
      <c r="E686" s="25" t="str">
        <f t="shared" si="107"/>
        <v/>
      </c>
      <c r="F686" s="25" t="str">
        <f>IF($E686="","",ROUND(MIN(Comparison!$C$5,MAX(0,$E686+$H686)),2))</f>
        <v/>
      </c>
      <c r="G686" s="25" t="str">
        <f>IF($E686="","",ROUND(MIN(Inputs!$B$10,MAX(0,$E686+$H686-$F686)),2))</f>
        <v/>
      </c>
      <c r="H686" s="25" t="str">
        <f>IF($E686="","",ROUND(IF(Inputs!$B$12="Daily Simple Interest",$E686*Inputs!$B$6/Inputs!$B$17*$D686,$E686*Inputs!$B$6/Inputs!$B$19),2))</f>
        <v/>
      </c>
      <c r="I686" s="25" t="str">
        <f t="shared" si="99"/>
        <v/>
      </c>
      <c r="J686" s="25" t="str">
        <f>IF($E686="","",IF($F686+$G686&gt;0,Inputs!$B$11,0))</f>
        <v/>
      </c>
      <c r="K686" s="25" t="str">
        <f t="shared" si="100"/>
        <v/>
      </c>
      <c r="L686" s="25" t="str">
        <f t="shared" si="101"/>
        <v/>
      </c>
      <c r="M686" s="25" t="str">
        <f t="shared" si="102"/>
        <v/>
      </c>
      <c r="N686" s="84" t="str">
        <f t="shared" si="103"/>
        <v/>
      </c>
      <c r="O686" s="23" t="str">
        <f t="shared" si="104"/>
        <v/>
      </c>
    </row>
    <row r="687" spans="1:15" ht="20" customHeight="1">
      <c r="A687" s="30" t="str">
        <f t="shared" ref="A687:A750" si="108">IF($E687="","","True Biweekly")</f>
        <v>True Biweekly</v>
      </c>
      <c r="B687" s="31">
        <f>IF($E687="","",1)</f>
        <v>1</v>
      </c>
      <c r="C687" s="32">
        <f>Inputs!$B$9</f>
        <v>46292</v>
      </c>
      <c r="D687" s="31">
        <f>IF($E687="","",$C687-Inputs!$B$8)</f>
        <v>31</v>
      </c>
      <c r="E687" s="33">
        <f>Inputs!$B$5</f>
        <v>35000</v>
      </c>
      <c r="F687" s="33">
        <f>IF($E687="","",ROUND(MIN(Comparison!$D$5,MAX(0,$E687+$H687)),2))</f>
        <v>493.81</v>
      </c>
      <c r="G687" s="33">
        <f>IF($E687="","",ROUND(MIN(Inputs!$B$10,MAX(0,$E687+$H687-$F687)),2))</f>
        <v>0</v>
      </c>
      <c r="H687" s="33">
        <f>IF($E687="","",ROUND(IF(Inputs!$B$12="Daily Simple Interest",$E687*Inputs!$B$6/Inputs!$B$17*$D687,$E687*Inputs!$B$6/Inputs!$B$20),2))</f>
        <v>215.51</v>
      </c>
      <c r="I687" s="33">
        <f t="shared" si="99"/>
        <v>278.3</v>
      </c>
      <c r="J687" s="33">
        <f>IF($E687="","",IF($F687+$G687&gt;0,Inputs!$B$11,0))</f>
        <v>0</v>
      </c>
      <c r="K687" s="33">
        <f t="shared" si="100"/>
        <v>34721.699999999997</v>
      </c>
      <c r="L687" s="33">
        <f t="shared" si="101"/>
        <v>493.81</v>
      </c>
      <c r="M687" s="33">
        <f t="shared" si="102"/>
        <v>0</v>
      </c>
      <c r="N687" s="83" t="str">
        <f t="shared" si="103"/>
        <v>ACTIVE</v>
      </c>
      <c r="O687" s="31">
        <f t="shared" si="104"/>
        <v>1</v>
      </c>
    </row>
    <row r="688" spans="1:15" ht="20" customHeight="1">
      <c r="A688" s="22" t="str">
        <f t="shared" si="108"/>
        <v>True Biweekly</v>
      </c>
      <c r="B688" s="23">
        <f>IF($E688="","",2)</f>
        <v>2</v>
      </c>
      <c r="C688" s="24">
        <f>IF($E688="","",Inputs!$B$9+(1*Inputs!$B$21))</f>
        <v>46306</v>
      </c>
      <c r="D688" s="23">
        <f t="shared" ref="D688:D751" si="109">IF($E688="","",$C688-$C687)</f>
        <v>14</v>
      </c>
      <c r="E688" s="25">
        <f t="shared" ref="E688:E751" si="110">IF($K687&gt;0.005,$K687,"")</f>
        <v>34721.699999999997</v>
      </c>
      <c r="F688" s="25">
        <f>IF($E688="","",ROUND(MIN(Comparison!$D$5,MAX(0,$E688+$H688)),2))</f>
        <v>493.81</v>
      </c>
      <c r="G688" s="25">
        <f>IF($E688="","",ROUND(MIN(Inputs!$B$10,MAX(0,$E688+$H688-$F688)),2))</f>
        <v>0</v>
      </c>
      <c r="H688" s="25">
        <f>IF($E688="","",ROUND(IF(Inputs!$B$12="Daily Simple Interest",$E688*Inputs!$B$6/Inputs!$B$17*$D688,$E688*Inputs!$B$6/Inputs!$B$20),2))</f>
        <v>96.55</v>
      </c>
      <c r="I688" s="25">
        <f t="shared" si="99"/>
        <v>397.26</v>
      </c>
      <c r="J688" s="25">
        <f>IF($E688="","",IF($F688+$G688&gt;0,Inputs!$B$11,0))</f>
        <v>0</v>
      </c>
      <c r="K688" s="25">
        <f t="shared" si="100"/>
        <v>34324.44</v>
      </c>
      <c r="L688" s="25">
        <f t="shared" si="101"/>
        <v>493.81</v>
      </c>
      <c r="M688" s="25">
        <f t="shared" si="102"/>
        <v>0</v>
      </c>
      <c r="N688" s="84" t="str">
        <f t="shared" si="103"/>
        <v>ACTIVE</v>
      </c>
      <c r="O688" s="23">
        <f t="shared" si="104"/>
        <v>1</v>
      </c>
    </row>
    <row r="689" spans="1:15" ht="20" customHeight="1">
      <c r="A689" s="22" t="str">
        <f t="shared" si="108"/>
        <v>True Biweekly</v>
      </c>
      <c r="B689" s="23">
        <f>IF($E689="","",3)</f>
        <v>3</v>
      </c>
      <c r="C689" s="24">
        <f>IF($E689="","",Inputs!$B$9+(2*Inputs!$B$21))</f>
        <v>46320</v>
      </c>
      <c r="D689" s="23">
        <f t="shared" si="109"/>
        <v>14</v>
      </c>
      <c r="E689" s="25">
        <f t="shared" si="110"/>
        <v>34324.44</v>
      </c>
      <c r="F689" s="25">
        <f>IF($E689="","",ROUND(MIN(Comparison!$D$5,MAX(0,$E689+$H689)),2))</f>
        <v>493.81</v>
      </c>
      <c r="G689" s="25">
        <f>IF($E689="","",ROUND(MIN(Inputs!$B$10,MAX(0,$E689+$H689-$F689)),2))</f>
        <v>0</v>
      </c>
      <c r="H689" s="25">
        <f>IF($E689="","",ROUND(IF(Inputs!$B$12="Daily Simple Interest",$E689*Inputs!$B$6/Inputs!$B$17*$D689,$E689*Inputs!$B$6/Inputs!$B$20),2))</f>
        <v>95.45</v>
      </c>
      <c r="I689" s="25">
        <f t="shared" si="99"/>
        <v>398.36</v>
      </c>
      <c r="J689" s="25">
        <f>IF($E689="","",IF($F689+$G689&gt;0,Inputs!$B$11,0))</f>
        <v>0</v>
      </c>
      <c r="K689" s="25">
        <f t="shared" si="100"/>
        <v>33926.080000000002</v>
      </c>
      <c r="L689" s="25">
        <f t="shared" si="101"/>
        <v>493.81</v>
      </c>
      <c r="M689" s="25">
        <f t="shared" si="102"/>
        <v>0</v>
      </c>
      <c r="N689" s="84" t="str">
        <f t="shared" si="103"/>
        <v>ACTIVE</v>
      </c>
      <c r="O689" s="23">
        <f t="shared" si="104"/>
        <v>1</v>
      </c>
    </row>
    <row r="690" spans="1:15" ht="20" customHeight="1">
      <c r="A690" s="22" t="str">
        <f t="shared" si="108"/>
        <v>True Biweekly</v>
      </c>
      <c r="B690" s="23">
        <f>IF($E690="","",4)</f>
        <v>4</v>
      </c>
      <c r="C690" s="24">
        <f>IF($E690="","",Inputs!$B$9+(3*Inputs!$B$21))</f>
        <v>46334</v>
      </c>
      <c r="D690" s="23">
        <f t="shared" si="109"/>
        <v>14</v>
      </c>
      <c r="E690" s="25">
        <f t="shared" si="110"/>
        <v>33926.080000000002</v>
      </c>
      <c r="F690" s="25">
        <f>IF($E690="","",ROUND(MIN(Comparison!$D$5,MAX(0,$E690+$H690)),2))</f>
        <v>493.81</v>
      </c>
      <c r="G690" s="25">
        <f>IF($E690="","",ROUND(MIN(Inputs!$B$10,MAX(0,$E690+$H690-$F690)),2))</f>
        <v>0</v>
      </c>
      <c r="H690" s="25">
        <f>IF($E690="","",ROUND(IF(Inputs!$B$12="Daily Simple Interest",$E690*Inputs!$B$6/Inputs!$B$17*$D690,$E690*Inputs!$B$6/Inputs!$B$20),2))</f>
        <v>94.34</v>
      </c>
      <c r="I690" s="25">
        <f t="shared" si="99"/>
        <v>399.47</v>
      </c>
      <c r="J690" s="25">
        <f>IF($E690="","",IF($F690+$G690&gt;0,Inputs!$B$11,0))</f>
        <v>0</v>
      </c>
      <c r="K690" s="25">
        <f t="shared" si="100"/>
        <v>33526.61</v>
      </c>
      <c r="L690" s="25">
        <f t="shared" si="101"/>
        <v>493.81</v>
      </c>
      <c r="M690" s="25">
        <f t="shared" si="102"/>
        <v>0</v>
      </c>
      <c r="N690" s="84" t="str">
        <f t="shared" si="103"/>
        <v>ACTIVE</v>
      </c>
      <c r="O690" s="23">
        <f t="shared" si="104"/>
        <v>1</v>
      </c>
    </row>
    <row r="691" spans="1:15" ht="20" customHeight="1">
      <c r="A691" s="22" t="str">
        <f t="shared" si="108"/>
        <v>True Biweekly</v>
      </c>
      <c r="B691" s="23">
        <f>IF($E691="","",5)</f>
        <v>5</v>
      </c>
      <c r="C691" s="24">
        <f>IF($E691="","",Inputs!$B$9+(4*Inputs!$B$21))</f>
        <v>46348</v>
      </c>
      <c r="D691" s="23">
        <f t="shared" si="109"/>
        <v>14</v>
      </c>
      <c r="E691" s="25">
        <f t="shared" si="110"/>
        <v>33526.61</v>
      </c>
      <c r="F691" s="25">
        <f>IF($E691="","",ROUND(MIN(Comparison!$D$5,MAX(0,$E691+$H691)),2))</f>
        <v>493.81</v>
      </c>
      <c r="G691" s="25">
        <f>IF($E691="","",ROUND(MIN(Inputs!$B$10,MAX(0,$E691+$H691-$F691)),2))</f>
        <v>0</v>
      </c>
      <c r="H691" s="25">
        <f>IF($E691="","",ROUND(IF(Inputs!$B$12="Daily Simple Interest",$E691*Inputs!$B$6/Inputs!$B$17*$D691,$E691*Inputs!$B$6/Inputs!$B$20),2))</f>
        <v>93.23</v>
      </c>
      <c r="I691" s="25">
        <f t="shared" si="99"/>
        <v>400.58</v>
      </c>
      <c r="J691" s="25">
        <f>IF($E691="","",IF($F691+$G691&gt;0,Inputs!$B$11,0))</f>
        <v>0</v>
      </c>
      <c r="K691" s="25">
        <f t="shared" si="100"/>
        <v>33126.03</v>
      </c>
      <c r="L691" s="25">
        <f t="shared" si="101"/>
        <v>493.81</v>
      </c>
      <c r="M691" s="25">
        <f t="shared" si="102"/>
        <v>0</v>
      </c>
      <c r="N691" s="84" t="str">
        <f t="shared" si="103"/>
        <v>ACTIVE</v>
      </c>
      <c r="O691" s="23">
        <f t="shared" si="104"/>
        <v>1</v>
      </c>
    </row>
    <row r="692" spans="1:15" ht="20" customHeight="1">
      <c r="A692" s="22" t="str">
        <f t="shared" si="108"/>
        <v>True Biweekly</v>
      </c>
      <c r="B692" s="23">
        <f>IF($E692="","",6)</f>
        <v>6</v>
      </c>
      <c r="C692" s="24">
        <f>IF($E692="","",Inputs!$B$9+(5*Inputs!$B$21))</f>
        <v>46362</v>
      </c>
      <c r="D692" s="23">
        <f t="shared" si="109"/>
        <v>14</v>
      </c>
      <c r="E692" s="25">
        <f t="shared" si="110"/>
        <v>33126.03</v>
      </c>
      <c r="F692" s="25">
        <f>IF($E692="","",ROUND(MIN(Comparison!$D$5,MAX(0,$E692+$H692)),2))</f>
        <v>493.81</v>
      </c>
      <c r="G692" s="25">
        <f>IF($E692="","",ROUND(MIN(Inputs!$B$10,MAX(0,$E692+$H692-$F692)),2))</f>
        <v>0</v>
      </c>
      <c r="H692" s="25">
        <f>IF($E692="","",ROUND(IF(Inputs!$B$12="Daily Simple Interest",$E692*Inputs!$B$6/Inputs!$B$17*$D692,$E692*Inputs!$B$6/Inputs!$B$20),2))</f>
        <v>92.12</v>
      </c>
      <c r="I692" s="25">
        <f t="shared" si="99"/>
        <v>401.69</v>
      </c>
      <c r="J692" s="25">
        <f>IF($E692="","",IF($F692+$G692&gt;0,Inputs!$B$11,0))</f>
        <v>0</v>
      </c>
      <c r="K692" s="25">
        <f t="shared" si="100"/>
        <v>32724.34</v>
      </c>
      <c r="L692" s="25">
        <f t="shared" si="101"/>
        <v>493.81</v>
      </c>
      <c r="M692" s="25">
        <f t="shared" si="102"/>
        <v>0</v>
      </c>
      <c r="N692" s="84" t="str">
        <f t="shared" si="103"/>
        <v>ACTIVE</v>
      </c>
      <c r="O692" s="23">
        <f t="shared" si="104"/>
        <v>1</v>
      </c>
    </row>
    <row r="693" spans="1:15" ht="20" customHeight="1">
      <c r="A693" s="22" t="str">
        <f t="shared" si="108"/>
        <v>True Biweekly</v>
      </c>
      <c r="B693" s="23">
        <f>IF($E693="","",7)</f>
        <v>7</v>
      </c>
      <c r="C693" s="24">
        <f>IF($E693="","",Inputs!$B$9+(6*Inputs!$B$21))</f>
        <v>46376</v>
      </c>
      <c r="D693" s="23">
        <f t="shared" si="109"/>
        <v>14</v>
      </c>
      <c r="E693" s="25">
        <f t="shared" si="110"/>
        <v>32724.34</v>
      </c>
      <c r="F693" s="25">
        <f>IF($E693="","",ROUND(MIN(Comparison!$D$5,MAX(0,$E693+$H693)),2))</f>
        <v>493.81</v>
      </c>
      <c r="G693" s="25">
        <f>IF($E693="","",ROUND(MIN(Inputs!$B$10,MAX(0,$E693+$H693-$F693)),2))</f>
        <v>0</v>
      </c>
      <c r="H693" s="25">
        <f>IF($E693="","",ROUND(IF(Inputs!$B$12="Daily Simple Interest",$E693*Inputs!$B$6/Inputs!$B$17*$D693,$E693*Inputs!$B$6/Inputs!$B$20),2))</f>
        <v>91</v>
      </c>
      <c r="I693" s="25">
        <f t="shared" si="99"/>
        <v>402.81</v>
      </c>
      <c r="J693" s="25">
        <f>IF($E693="","",IF($F693+$G693&gt;0,Inputs!$B$11,0))</f>
        <v>0</v>
      </c>
      <c r="K693" s="25">
        <f t="shared" si="100"/>
        <v>32321.53</v>
      </c>
      <c r="L693" s="25">
        <f t="shared" si="101"/>
        <v>493.81</v>
      </c>
      <c r="M693" s="25">
        <f t="shared" si="102"/>
        <v>0</v>
      </c>
      <c r="N693" s="84" t="str">
        <f t="shared" si="103"/>
        <v>ACTIVE</v>
      </c>
      <c r="O693" s="23">
        <f t="shared" si="104"/>
        <v>1</v>
      </c>
    </row>
    <row r="694" spans="1:15" ht="20" customHeight="1">
      <c r="A694" s="22" t="str">
        <f t="shared" si="108"/>
        <v>True Biweekly</v>
      </c>
      <c r="B694" s="23">
        <f>IF($E694="","",8)</f>
        <v>8</v>
      </c>
      <c r="C694" s="24">
        <f>IF($E694="","",Inputs!$B$9+(7*Inputs!$B$21))</f>
        <v>46390</v>
      </c>
      <c r="D694" s="23">
        <f t="shared" si="109"/>
        <v>14</v>
      </c>
      <c r="E694" s="25">
        <f t="shared" si="110"/>
        <v>32321.53</v>
      </c>
      <c r="F694" s="25">
        <f>IF($E694="","",ROUND(MIN(Comparison!$D$5,MAX(0,$E694+$H694)),2))</f>
        <v>493.81</v>
      </c>
      <c r="G694" s="25">
        <f>IF($E694="","",ROUND(MIN(Inputs!$B$10,MAX(0,$E694+$H694-$F694)),2))</f>
        <v>0</v>
      </c>
      <c r="H694" s="25">
        <f>IF($E694="","",ROUND(IF(Inputs!$B$12="Daily Simple Interest",$E694*Inputs!$B$6/Inputs!$B$17*$D694,$E694*Inputs!$B$6/Inputs!$B$20),2))</f>
        <v>89.88</v>
      </c>
      <c r="I694" s="25">
        <f t="shared" si="99"/>
        <v>403.93</v>
      </c>
      <c r="J694" s="25">
        <f>IF($E694="","",IF($F694+$G694&gt;0,Inputs!$B$11,0))</f>
        <v>0</v>
      </c>
      <c r="K694" s="25">
        <f t="shared" si="100"/>
        <v>31917.599999999999</v>
      </c>
      <c r="L694" s="25">
        <f t="shared" si="101"/>
        <v>493.81</v>
      </c>
      <c r="M694" s="25">
        <f t="shared" si="102"/>
        <v>0</v>
      </c>
      <c r="N694" s="84" t="str">
        <f t="shared" si="103"/>
        <v>ACTIVE</v>
      </c>
      <c r="O694" s="23">
        <f t="shared" si="104"/>
        <v>1</v>
      </c>
    </row>
    <row r="695" spans="1:15" ht="20" customHeight="1">
      <c r="A695" s="22" t="str">
        <f t="shared" si="108"/>
        <v>True Biweekly</v>
      </c>
      <c r="B695" s="23">
        <f>IF($E695="","",9)</f>
        <v>9</v>
      </c>
      <c r="C695" s="24">
        <f>IF($E695="","",Inputs!$B$9+(8*Inputs!$B$21))</f>
        <v>46404</v>
      </c>
      <c r="D695" s="23">
        <f t="shared" si="109"/>
        <v>14</v>
      </c>
      <c r="E695" s="25">
        <f t="shared" si="110"/>
        <v>31917.599999999999</v>
      </c>
      <c r="F695" s="25">
        <f>IF($E695="","",ROUND(MIN(Comparison!$D$5,MAX(0,$E695+$H695)),2))</f>
        <v>493.81</v>
      </c>
      <c r="G695" s="25">
        <f>IF($E695="","",ROUND(MIN(Inputs!$B$10,MAX(0,$E695+$H695-$F695)),2))</f>
        <v>0</v>
      </c>
      <c r="H695" s="25">
        <f>IF($E695="","",ROUND(IF(Inputs!$B$12="Daily Simple Interest",$E695*Inputs!$B$6/Inputs!$B$17*$D695,$E695*Inputs!$B$6/Inputs!$B$20),2))</f>
        <v>88.76</v>
      </c>
      <c r="I695" s="25">
        <f t="shared" si="99"/>
        <v>405.05</v>
      </c>
      <c r="J695" s="25">
        <f>IF($E695="","",IF($F695+$G695&gt;0,Inputs!$B$11,0))</f>
        <v>0</v>
      </c>
      <c r="K695" s="25">
        <f t="shared" si="100"/>
        <v>31512.55</v>
      </c>
      <c r="L695" s="25">
        <f t="shared" si="101"/>
        <v>493.81</v>
      </c>
      <c r="M695" s="25">
        <f t="shared" si="102"/>
        <v>0</v>
      </c>
      <c r="N695" s="84" t="str">
        <f t="shared" si="103"/>
        <v>ACTIVE</v>
      </c>
      <c r="O695" s="23">
        <f t="shared" si="104"/>
        <v>1</v>
      </c>
    </row>
    <row r="696" spans="1:15" ht="20" customHeight="1">
      <c r="A696" s="22" t="str">
        <f t="shared" si="108"/>
        <v>True Biweekly</v>
      </c>
      <c r="B696" s="23">
        <f>IF($E696="","",10)</f>
        <v>10</v>
      </c>
      <c r="C696" s="24">
        <f>IF($E696="","",Inputs!$B$9+(9*Inputs!$B$21))</f>
        <v>46418</v>
      </c>
      <c r="D696" s="23">
        <f t="shared" si="109"/>
        <v>14</v>
      </c>
      <c r="E696" s="25">
        <f t="shared" si="110"/>
        <v>31512.55</v>
      </c>
      <c r="F696" s="25">
        <f>IF($E696="","",ROUND(MIN(Comparison!$D$5,MAX(0,$E696+$H696)),2))</f>
        <v>493.81</v>
      </c>
      <c r="G696" s="25">
        <f>IF($E696="","",ROUND(MIN(Inputs!$B$10,MAX(0,$E696+$H696-$F696)),2))</f>
        <v>0</v>
      </c>
      <c r="H696" s="25">
        <f>IF($E696="","",ROUND(IF(Inputs!$B$12="Daily Simple Interest",$E696*Inputs!$B$6/Inputs!$B$17*$D696,$E696*Inputs!$B$6/Inputs!$B$20),2))</f>
        <v>87.63</v>
      </c>
      <c r="I696" s="25">
        <f t="shared" si="99"/>
        <v>406.18</v>
      </c>
      <c r="J696" s="25">
        <f>IF($E696="","",IF($F696+$G696&gt;0,Inputs!$B$11,0))</f>
        <v>0</v>
      </c>
      <c r="K696" s="25">
        <f t="shared" si="100"/>
        <v>31106.37</v>
      </c>
      <c r="L696" s="25">
        <f t="shared" si="101"/>
        <v>493.81</v>
      </c>
      <c r="M696" s="25">
        <f t="shared" si="102"/>
        <v>0</v>
      </c>
      <c r="N696" s="84" t="str">
        <f t="shared" si="103"/>
        <v>ACTIVE</v>
      </c>
      <c r="O696" s="23">
        <f t="shared" si="104"/>
        <v>1</v>
      </c>
    </row>
    <row r="697" spans="1:15" ht="20" customHeight="1">
      <c r="A697" s="22" t="str">
        <f t="shared" si="108"/>
        <v>True Biweekly</v>
      </c>
      <c r="B697" s="23">
        <f>IF($E697="","",11)</f>
        <v>11</v>
      </c>
      <c r="C697" s="24">
        <f>IF($E697="","",Inputs!$B$9+(10*Inputs!$B$21))</f>
        <v>46432</v>
      </c>
      <c r="D697" s="23">
        <f t="shared" si="109"/>
        <v>14</v>
      </c>
      <c r="E697" s="25">
        <f t="shared" si="110"/>
        <v>31106.37</v>
      </c>
      <c r="F697" s="25">
        <f>IF($E697="","",ROUND(MIN(Comparison!$D$5,MAX(0,$E697+$H697)),2))</f>
        <v>493.81</v>
      </c>
      <c r="G697" s="25">
        <f>IF($E697="","",ROUND(MIN(Inputs!$B$10,MAX(0,$E697+$H697-$F697)),2))</f>
        <v>0</v>
      </c>
      <c r="H697" s="25">
        <f>IF($E697="","",ROUND(IF(Inputs!$B$12="Daily Simple Interest",$E697*Inputs!$B$6/Inputs!$B$17*$D697,$E697*Inputs!$B$6/Inputs!$B$20),2))</f>
        <v>86.5</v>
      </c>
      <c r="I697" s="25">
        <f t="shared" si="99"/>
        <v>407.31</v>
      </c>
      <c r="J697" s="25">
        <f>IF($E697="","",IF($F697+$G697&gt;0,Inputs!$B$11,0))</f>
        <v>0</v>
      </c>
      <c r="K697" s="25">
        <f t="shared" si="100"/>
        <v>30699.06</v>
      </c>
      <c r="L697" s="25">
        <f t="shared" si="101"/>
        <v>493.81</v>
      </c>
      <c r="M697" s="25">
        <f t="shared" si="102"/>
        <v>0</v>
      </c>
      <c r="N697" s="84" t="str">
        <f t="shared" si="103"/>
        <v>ACTIVE</v>
      </c>
      <c r="O697" s="23">
        <f t="shared" si="104"/>
        <v>1</v>
      </c>
    </row>
    <row r="698" spans="1:15" ht="20" customHeight="1">
      <c r="A698" s="22" t="str">
        <f t="shared" si="108"/>
        <v>True Biweekly</v>
      </c>
      <c r="B698" s="23">
        <f>IF($E698="","",12)</f>
        <v>12</v>
      </c>
      <c r="C698" s="24">
        <f>IF($E698="","",Inputs!$B$9+(11*Inputs!$B$21))</f>
        <v>46446</v>
      </c>
      <c r="D698" s="23">
        <f t="shared" si="109"/>
        <v>14</v>
      </c>
      <c r="E698" s="25">
        <f t="shared" si="110"/>
        <v>30699.06</v>
      </c>
      <c r="F698" s="25">
        <f>IF($E698="","",ROUND(MIN(Comparison!$D$5,MAX(0,$E698+$H698)),2))</f>
        <v>493.81</v>
      </c>
      <c r="G698" s="25">
        <f>IF($E698="","",ROUND(MIN(Inputs!$B$10,MAX(0,$E698+$H698-$F698)),2))</f>
        <v>0</v>
      </c>
      <c r="H698" s="25">
        <f>IF($E698="","",ROUND(IF(Inputs!$B$12="Daily Simple Interest",$E698*Inputs!$B$6/Inputs!$B$17*$D698,$E698*Inputs!$B$6/Inputs!$B$20),2))</f>
        <v>85.37</v>
      </c>
      <c r="I698" s="25">
        <f t="shared" si="99"/>
        <v>408.44</v>
      </c>
      <c r="J698" s="25">
        <f>IF($E698="","",IF($F698+$G698&gt;0,Inputs!$B$11,0))</f>
        <v>0</v>
      </c>
      <c r="K698" s="25">
        <f t="shared" si="100"/>
        <v>30290.62</v>
      </c>
      <c r="L698" s="25">
        <f t="shared" si="101"/>
        <v>493.81</v>
      </c>
      <c r="M698" s="25">
        <f t="shared" si="102"/>
        <v>0</v>
      </c>
      <c r="N698" s="84" t="str">
        <f t="shared" si="103"/>
        <v>ACTIVE</v>
      </c>
      <c r="O698" s="23">
        <f t="shared" si="104"/>
        <v>1</v>
      </c>
    </row>
    <row r="699" spans="1:15" ht="20" customHeight="1">
      <c r="A699" s="22" t="str">
        <f t="shared" si="108"/>
        <v>True Biweekly</v>
      </c>
      <c r="B699" s="23">
        <f>IF($E699="","",13)</f>
        <v>13</v>
      </c>
      <c r="C699" s="24">
        <f>IF($E699="","",Inputs!$B$9+(12*Inputs!$B$21))</f>
        <v>46460</v>
      </c>
      <c r="D699" s="23">
        <f t="shared" si="109"/>
        <v>14</v>
      </c>
      <c r="E699" s="25">
        <f t="shared" si="110"/>
        <v>30290.62</v>
      </c>
      <c r="F699" s="25">
        <f>IF($E699="","",ROUND(MIN(Comparison!$D$5,MAX(0,$E699+$H699)),2))</f>
        <v>493.81</v>
      </c>
      <c r="G699" s="25">
        <f>IF($E699="","",ROUND(MIN(Inputs!$B$10,MAX(0,$E699+$H699-$F699)),2))</f>
        <v>0</v>
      </c>
      <c r="H699" s="25">
        <f>IF($E699="","",ROUND(IF(Inputs!$B$12="Daily Simple Interest",$E699*Inputs!$B$6/Inputs!$B$17*$D699,$E699*Inputs!$B$6/Inputs!$B$20),2))</f>
        <v>84.23</v>
      </c>
      <c r="I699" s="25">
        <f t="shared" si="99"/>
        <v>409.58</v>
      </c>
      <c r="J699" s="25">
        <f>IF($E699="","",IF($F699+$G699&gt;0,Inputs!$B$11,0))</f>
        <v>0</v>
      </c>
      <c r="K699" s="25">
        <f t="shared" si="100"/>
        <v>29881.040000000001</v>
      </c>
      <c r="L699" s="25">
        <f t="shared" si="101"/>
        <v>493.81</v>
      </c>
      <c r="M699" s="25">
        <f t="shared" si="102"/>
        <v>0</v>
      </c>
      <c r="N699" s="84" t="str">
        <f t="shared" si="103"/>
        <v>ACTIVE</v>
      </c>
      <c r="O699" s="23">
        <f t="shared" si="104"/>
        <v>1</v>
      </c>
    </row>
    <row r="700" spans="1:15" ht="20" customHeight="1">
      <c r="A700" s="22" t="str">
        <f t="shared" si="108"/>
        <v>True Biweekly</v>
      </c>
      <c r="B700" s="23">
        <f>IF($E700="","",14)</f>
        <v>14</v>
      </c>
      <c r="C700" s="24">
        <f>IF($E700="","",Inputs!$B$9+(13*Inputs!$B$21))</f>
        <v>46474</v>
      </c>
      <c r="D700" s="23">
        <f t="shared" si="109"/>
        <v>14</v>
      </c>
      <c r="E700" s="25">
        <f t="shared" si="110"/>
        <v>29881.040000000001</v>
      </c>
      <c r="F700" s="25">
        <f>IF($E700="","",ROUND(MIN(Comparison!$D$5,MAX(0,$E700+$H700)),2))</f>
        <v>493.81</v>
      </c>
      <c r="G700" s="25">
        <f>IF($E700="","",ROUND(MIN(Inputs!$B$10,MAX(0,$E700+$H700-$F700)),2))</f>
        <v>0</v>
      </c>
      <c r="H700" s="25">
        <f>IF($E700="","",ROUND(IF(Inputs!$B$12="Daily Simple Interest",$E700*Inputs!$B$6/Inputs!$B$17*$D700,$E700*Inputs!$B$6/Inputs!$B$20),2))</f>
        <v>83.09</v>
      </c>
      <c r="I700" s="25">
        <f t="shared" si="99"/>
        <v>410.72</v>
      </c>
      <c r="J700" s="25">
        <f>IF($E700="","",IF($F700+$G700&gt;0,Inputs!$B$11,0))</f>
        <v>0</v>
      </c>
      <c r="K700" s="25">
        <f t="shared" si="100"/>
        <v>29470.32</v>
      </c>
      <c r="L700" s="25">
        <f t="shared" si="101"/>
        <v>493.81</v>
      </c>
      <c r="M700" s="25">
        <f t="shared" si="102"/>
        <v>0</v>
      </c>
      <c r="N700" s="84" t="str">
        <f t="shared" si="103"/>
        <v>ACTIVE</v>
      </c>
      <c r="O700" s="23">
        <f t="shared" si="104"/>
        <v>1</v>
      </c>
    </row>
    <row r="701" spans="1:15" ht="20" customHeight="1">
      <c r="A701" s="22" t="str">
        <f t="shared" si="108"/>
        <v>True Biweekly</v>
      </c>
      <c r="B701" s="23">
        <f>IF($E701="","",15)</f>
        <v>15</v>
      </c>
      <c r="C701" s="24">
        <f>IF($E701="","",Inputs!$B$9+(14*Inputs!$B$21))</f>
        <v>46488</v>
      </c>
      <c r="D701" s="23">
        <f t="shared" si="109"/>
        <v>14</v>
      </c>
      <c r="E701" s="25">
        <f t="shared" si="110"/>
        <v>29470.32</v>
      </c>
      <c r="F701" s="25">
        <f>IF($E701="","",ROUND(MIN(Comparison!$D$5,MAX(0,$E701+$H701)),2))</f>
        <v>493.81</v>
      </c>
      <c r="G701" s="25">
        <f>IF($E701="","",ROUND(MIN(Inputs!$B$10,MAX(0,$E701+$H701-$F701)),2))</f>
        <v>0</v>
      </c>
      <c r="H701" s="25">
        <f>IF($E701="","",ROUND(IF(Inputs!$B$12="Daily Simple Interest",$E701*Inputs!$B$6/Inputs!$B$17*$D701,$E701*Inputs!$B$6/Inputs!$B$20),2))</f>
        <v>81.95</v>
      </c>
      <c r="I701" s="25">
        <f t="shared" si="99"/>
        <v>411.86</v>
      </c>
      <c r="J701" s="25">
        <f>IF($E701="","",IF($F701+$G701&gt;0,Inputs!$B$11,0))</f>
        <v>0</v>
      </c>
      <c r="K701" s="25">
        <f t="shared" si="100"/>
        <v>29058.46</v>
      </c>
      <c r="L701" s="25">
        <f t="shared" si="101"/>
        <v>493.81</v>
      </c>
      <c r="M701" s="25">
        <f t="shared" si="102"/>
        <v>0</v>
      </c>
      <c r="N701" s="84" t="str">
        <f t="shared" si="103"/>
        <v>ACTIVE</v>
      </c>
      <c r="O701" s="23">
        <f t="shared" si="104"/>
        <v>1</v>
      </c>
    </row>
    <row r="702" spans="1:15" ht="20" customHeight="1">
      <c r="A702" s="22" t="str">
        <f t="shared" si="108"/>
        <v>True Biweekly</v>
      </c>
      <c r="B702" s="23">
        <f>IF($E702="","",16)</f>
        <v>16</v>
      </c>
      <c r="C702" s="24">
        <f>IF($E702="","",Inputs!$B$9+(15*Inputs!$B$21))</f>
        <v>46502</v>
      </c>
      <c r="D702" s="23">
        <f t="shared" si="109"/>
        <v>14</v>
      </c>
      <c r="E702" s="25">
        <f t="shared" si="110"/>
        <v>29058.46</v>
      </c>
      <c r="F702" s="25">
        <f>IF($E702="","",ROUND(MIN(Comparison!$D$5,MAX(0,$E702+$H702)),2))</f>
        <v>493.81</v>
      </c>
      <c r="G702" s="25">
        <f>IF($E702="","",ROUND(MIN(Inputs!$B$10,MAX(0,$E702+$H702-$F702)),2))</f>
        <v>0</v>
      </c>
      <c r="H702" s="25">
        <f>IF($E702="","",ROUND(IF(Inputs!$B$12="Daily Simple Interest",$E702*Inputs!$B$6/Inputs!$B$17*$D702,$E702*Inputs!$B$6/Inputs!$B$20),2))</f>
        <v>80.81</v>
      </c>
      <c r="I702" s="25">
        <f t="shared" si="99"/>
        <v>413</v>
      </c>
      <c r="J702" s="25">
        <f>IF($E702="","",IF($F702+$G702&gt;0,Inputs!$B$11,0))</f>
        <v>0</v>
      </c>
      <c r="K702" s="25">
        <f t="shared" si="100"/>
        <v>28645.46</v>
      </c>
      <c r="L702" s="25">
        <f t="shared" si="101"/>
        <v>493.81</v>
      </c>
      <c r="M702" s="25">
        <f t="shared" si="102"/>
        <v>0</v>
      </c>
      <c r="N702" s="84" t="str">
        <f t="shared" si="103"/>
        <v>ACTIVE</v>
      </c>
      <c r="O702" s="23">
        <f t="shared" si="104"/>
        <v>1</v>
      </c>
    </row>
    <row r="703" spans="1:15" ht="20" customHeight="1">
      <c r="A703" s="22" t="str">
        <f t="shared" si="108"/>
        <v>True Biweekly</v>
      </c>
      <c r="B703" s="23">
        <f>IF($E703="","",17)</f>
        <v>17</v>
      </c>
      <c r="C703" s="24">
        <f>IF($E703="","",Inputs!$B$9+(16*Inputs!$B$21))</f>
        <v>46516</v>
      </c>
      <c r="D703" s="23">
        <f t="shared" si="109"/>
        <v>14</v>
      </c>
      <c r="E703" s="25">
        <f t="shared" si="110"/>
        <v>28645.46</v>
      </c>
      <c r="F703" s="25">
        <f>IF($E703="","",ROUND(MIN(Comparison!$D$5,MAX(0,$E703+$H703)),2))</f>
        <v>493.81</v>
      </c>
      <c r="G703" s="25">
        <f>IF($E703="","",ROUND(MIN(Inputs!$B$10,MAX(0,$E703+$H703-$F703)),2))</f>
        <v>0</v>
      </c>
      <c r="H703" s="25">
        <f>IF($E703="","",ROUND(IF(Inputs!$B$12="Daily Simple Interest",$E703*Inputs!$B$6/Inputs!$B$17*$D703,$E703*Inputs!$B$6/Inputs!$B$20),2))</f>
        <v>79.66</v>
      </c>
      <c r="I703" s="25">
        <f t="shared" si="99"/>
        <v>414.15</v>
      </c>
      <c r="J703" s="25">
        <f>IF($E703="","",IF($F703+$G703&gt;0,Inputs!$B$11,0))</f>
        <v>0</v>
      </c>
      <c r="K703" s="25">
        <f t="shared" si="100"/>
        <v>28231.31</v>
      </c>
      <c r="L703" s="25">
        <f t="shared" si="101"/>
        <v>493.81</v>
      </c>
      <c r="M703" s="25">
        <f t="shared" si="102"/>
        <v>0</v>
      </c>
      <c r="N703" s="84" t="str">
        <f t="shared" si="103"/>
        <v>ACTIVE</v>
      </c>
      <c r="O703" s="23">
        <f t="shared" si="104"/>
        <v>1</v>
      </c>
    </row>
    <row r="704" spans="1:15" ht="20" customHeight="1">
      <c r="A704" s="22" t="str">
        <f t="shared" si="108"/>
        <v>True Biweekly</v>
      </c>
      <c r="B704" s="23">
        <f>IF($E704="","",18)</f>
        <v>18</v>
      </c>
      <c r="C704" s="24">
        <f>IF($E704="","",Inputs!$B$9+(17*Inputs!$B$21))</f>
        <v>46530</v>
      </c>
      <c r="D704" s="23">
        <f t="shared" si="109"/>
        <v>14</v>
      </c>
      <c r="E704" s="25">
        <f t="shared" si="110"/>
        <v>28231.31</v>
      </c>
      <c r="F704" s="25">
        <f>IF($E704="","",ROUND(MIN(Comparison!$D$5,MAX(0,$E704+$H704)),2))</f>
        <v>493.81</v>
      </c>
      <c r="G704" s="25">
        <f>IF($E704="","",ROUND(MIN(Inputs!$B$10,MAX(0,$E704+$H704-$F704)),2))</f>
        <v>0</v>
      </c>
      <c r="H704" s="25">
        <f>IF($E704="","",ROUND(IF(Inputs!$B$12="Daily Simple Interest",$E704*Inputs!$B$6/Inputs!$B$17*$D704,$E704*Inputs!$B$6/Inputs!$B$20),2))</f>
        <v>78.510000000000005</v>
      </c>
      <c r="I704" s="25">
        <f t="shared" si="99"/>
        <v>415.3</v>
      </c>
      <c r="J704" s="25">
        <f>IF($E704="","",IF($F704+$G704&gt;0,Inputs!$B$11,0))</f>
        <v>0</v>
      </c>
      <c r="K704" s="25">
        <f t="shared" si="100"/>
        <v>27816.01</v>
      </c>
      <c r="L704" s="25">
        <f t="shared" si="101"/>
        <v>493.81</v>
      </c>
      <c r="M704" s="25">
        <f t="shared" si="102"/>
        <v>0</v>
      </c>
      <c r="N704" s="84" t="str">
        <f t="shared" si="103"/>
        <v>ACTIVE</v>
      </c>
      <c r="O704" s="23">
        <f t="shared" si="104"/>
        <v>1</v>
      </c>
    </row>
    <row r="705" spans="1:15" ht="20" customHeight="1">
      <c r="A705" s="22" t="str">
        <f t="shared" si="108"/>
        <v>True Biweekly</v>
      </c>
      <c r="B705" s="23">
        <f>IF($E705="","",19)</f>
        <v>19</v>
      </c>
      <c r="C705" s="24">
        <f>IF($E705="","",Inputs!$B$9+(18*Inputs!$B$21))</f>
        <v>46544</v>
      </c>
      <c r="D705" s="23">
        <f t="shared" si="109"/>
        <v>14</v>
      </c>
      <c r="E705" s="25">
        <f t="shared" si="110"/>
        <v>27816.01</v>
      </c>
      <c r="F705" s="25">
        <f>IF($E705="","",ROUND(MIN(Comparison!$D$5,MAX(0,$E705+$H705)),2))</f>
        <v>493.81</v>
      </c>
      <c r="G705" s="25">
        <f>IF($E705="","",ROUND(MIN(Inputs!$B$10,MAX(0,$E705+$H705-$F705)),2))</f>
        <v>0</v>
      </c>
      <c r="H705" s="25">
        <f>IF($E705="","",ROUND(IF(Inputs!$B$12="Daily Simple Interest",$E705*Inputs!$B$6/Inputs!$B$17*$D705,$E705*Inputs!$B$6/Inputs!$B$20),2))</f>
        <v>77.349999999999994</v>
      </c>
      <c r="I705" s="25">
        <f t="shared" si="99"/>
        <v>416.46</v>
      </c>
      <c r="J705" s="25">
        <f>IF($E705="","",IF($F705+$G705&gt;0,Inputs!$B$11,0))</f>
        <v>0</v>
      </c>
      <c r="K705" s="25">
        <f t="shared" si="100"/>
        <v>27399.55</v>
      </c>
      <c r="L705" s="25">
        <f t="shared" si="101"/>
        <v>493.81</v>
      </c>
      <c r="M705" s="25">
        <f t="shared" si="102"/>
        <v>0</v>
      </c>
      <c r="N705" s="84" t="str">
        <f t="shared" si="103"/>
        <v>ACTIVE</v>
      </c>
      <c r="O705" s="23">
        <f t="shared" si="104"/>
        <v>1</v>
      </c>
    </row>
    <row r="706" spans="1:15" ht="20" customHeight="1">
      <c r="A706" s="22" t="str">
        <f t="shared" si="108"/>
        <v>True Biweekly</v>
      </c>
      <c r="B706" s="23">
        <f>IF($E706="","",20)</f>
        <v>20</v>
      </c>
      <c r="C706" s="24">
        <f>IF($E706="","",Inputs!$B$9+(19*Inputs!$B$21))</f>
        <v>46558</v>
      </c>
      <c r="D706" s="23">
        <f t="shared" si="109"/>
        <v>14</v>
      </c>
      <c r="E706" s="25">
        <f t="shared" si="110"/>
        <v>27399.55</v>
      </c>
      <c r="F706" s="25">
        <f>IF($E706="","",ROUND(MIN(Comparison!$D$5,MAX(0,$E706+$H706)),2))</f>
        <v>493.81</v>
      </c>
      <c r="G706" s="25">
        <f>IF($E706="","",ROUND(MIN(Inputs!$B$10,MAX(0,$E706+$H706-$F706)),2))</f>
        <v>0</v>
      </c>
      <c r="H706" s="25">
        <f>IF($E706="","",ROUND(IF(Inputs!$B$12="Daily Simple Interest",$E706*Inputs!$B$6/Inputs!$B$17*$D706,$E706*Inputs!$B$6/Inputs!$B$20),2))</f>
        <v>76.19</v>
      </c>
      <c r="I706" s="25">
        <f t="shared" si="99"/>
        <v>417.62</v>
      </c>
      <c r="J706" s="25">
        <f>IF($E706="","",IF($F706+$G706&gt;0,Inputs!$B$11,0))</f>
        <v>0</v>
      </c>
      <c r="K706" s="25">
        <f t="shared" si="100"/>
        <v>26981.93</v>
      </c>
      <c r="L706" s="25">
        <f t="shared" si="101"/>
        <v>493.81</v>
      </c>
      <c r="M706" s="25">
        <f t="shared" si="102"/>
        <v>0</v>
      </c>
      <c r="N706" s="84" t="str">
        <f t="shared" si="103"/>
        <v>ACTIVE</v>
      </c>
      <c r="O706" s="23">
        <f t="shared" si="104"/>
        <v>1</v>
      </c>
    </row>
    <row r="707" spans="1:15" ht="20" customHeight="1">
      <c r="A707" s="22" t="str">
        <f t="shared" si="108"/>
        <v>True Biweekly</v>
      </c>
      <c r="B707" s="23">
        <f>IF($E707="","",21)</f>
        <v>21</v>
      </c>
      <c r="C707" s="24">
        <f>IF($E707="","",Inputs!$B$9+(20*Inputs!$B$21))</f>
        <v>46572</v>
      </c>
      <c r="D707" s="23">
        <f t="shared" si="109"/>
        <v>14</v>
      </c>
      <c r="E707" s="25">
        <f t="shared" si="110"/>
        <v>26981.93</v>
      </c>
      <c r="F707" s="25">
        <f>IF($E707="","",ROUND(MIN(Comparison!$D$5,MAX(0,$E707+$H707)),2))</f>
        <v>493.81</v>
      </c>
      <c r="G707" s="25">
        <f>IF($E707="","",ROUND(MIN(Inputs!$B$10,MAX(0,$E707+$H707-$F707)),2))</f>
        <v>0</v>
      </c>
      <c r="H707" s="25">
        <f>IF($E707="","",ROUND(IF(Inputs!$B$12="Daily Simple Interest",$E707*Inputs!$B$6/Inputs!$B$17*$D707,$E707*Inputs!$B$6/Inputs!$B$20),2))</f>
        <v>75.03</v>
      </c>
      <c r="I707" s="25">
        <f t="shared" si="99"/>
        <v>418.78</v>
      </c>
      <c r="J707" s="25">
        <f>IF($E707="","",IF($F707+$G707&gt;0,Inputs!$B$11,0))</f>
        <v>0</v>
      </c>
      <c r="K707" s="25">
        <f t="shared" si="100"/>
        <v>26563.15</v>
      </c>
      <c r="L707" s="25">
        <f t="shared" si="101"/>
        <v>493.81</v>
      </c>
      <c r="M707" s="25">
        <f t="shared" si="102"/>
        <v>0</v>
      </c>
      <c r="N707" s="84" t="str">
        <f t="shared" si="103"/>
        <v>ACTIVE</v>
      </c>
      <c r="O707" s="23">
        <f t="shared" si="104"/>
        <v>1</v>
      </c>
    </row>
    <row r="708" spans="1:15" ht="20" customHeight="1">
      <c r="A708" s="22" t="str">
        <f t="shared" si="108"/>
        <v>True Biweekly</v>
      </c>
      <c r="B708" s="23">
        <f>IF($E708="","",22)</f>
        <v>22</v>
      </c>
      <c r="C708" s="24">
        <f>IF($E708="","",Inputs!$B$9+(21*Inputs!$B$21))</f>
        <v>46586</v>
      </c>
      <c r="D708" s="23">
        <f t="shared" si="109"/>
        <v>14</v>
      </c>
      <c r="E708" s="25">
        <f t="shared" si="110"/>
        <v>26563.15</v>
      </c>
      <c r="F708" s="25">
        <f>IF($E708="","",ROUND(MIN(Comparison!$D$5,MAX(0,$E708+$H708)),2))</f>
        <v>493.81</v>
      </c>
      <c r="G708" s="25">
        <f>IF($E708="","",ROUND(MIN(Inputs!$B$10,MAX(0,$E708+$H708-$F708)),2))</f>
        <v>0</v>
      </c>
      <c r="H708" s="25">
        <f>IF($E708="","",ROUND(IF(Inputs!$B$12="Daily Simple Interest",$E708*Inputs!$B$6/Inputs!$B$17*$D708,$E708*Inputs!$B$6/Inputs!$B$20),2))</f>
        <v>73.87</v>
      </c>
      <c r="I708" s="25">
        <f t="shared" si="99"/>
        <v>419.94</v>
      </c>
      <c r="J708" s="25">
        <f>IF($E708="","",IF($F708+$G708&gt;0,Inputs!$B$11,0))</f>
        <v>0</v>
      </c>
      <c r="K708" s="25">
        <f t="shared" si="100"/>
        <v>26143.21</v>
      </c>
      <c r="L708" s="25">
        <f t="shared" si="101"/>
        <v>493.81</v>
      </c>
      <c r="M708" s="25">
        <f t="shared" si="102"/>
        <v>0</v>
      </c>
      <c r="N708" s="84" t="str">
        <f t="shared" si="103"/>
        <v>ACTIVE</v>
      </c>
      <c r="O708" s="23">
        <f t="shared" si="104"/>
        <v>1</v>
      </c>
    </row>
    <row r="709" spans="1:15" ht="20" customHeight="1">
      <c r="A709" s="22" t="str">
        <f t="shared" si="108"/>
        <v>True Biweekly</v>
      </c>
      <c r="B709" s="23">
        <f>IF($E709="","",23)</f>
        <v>23</v>
      </c>
      <c r="C709" s="24">
        <f>IF($E709="","",Inputs!$B$9+(22*Inputs!$B$21))</f>
        <v>46600</v>
      </c>
      <c r="D709" s="23">
        <f t="shared" si="109"/>
        <v>14</v>
      </c>
      <c r="E709" s="25">
        <f t="shared" si="110"/>
        <v>26143.21</v>
      </c>
      <c r="F709" s="25">
        <f>IF($E709="","",ROUND(MIN(Comparison!$D$5,MAX(0,$E709+$H709)),2))</f>
        <v>493.81</v>
      </c>
      <c r="G709" s="25">
        <f>IF($E709="","",ROUND(MIN(Inputs!$B$10,MAX(0,$E709+$H709-$F709)),2))</f>
        <v>0</v>
      </c>
      <c r="H709" s="25">
        <f>IF($E709="","",ROUND(IF(Inputs!$B$12="Daily Simple Interest",$E709*Inputs!$B$6/Inputs!$B$17*$D709,$E709*Inputs!$B$6/Inputs!$B$20),2))</f>
        <v>72.7</v>
      </c>
      <c r="I709" s="25">
        <f t="shared" si="99"/>
        <v>421.11</v>
      </c>
      <c r="J709" s="25">
        <f>IF($E709="","",IF($F709+$G709&gt;0,Inputs!$B$11,0))</f>
        <v>0</v>
      </c>
      <c r="K709" s="25">
        <f t="shared" si="100"/>
        <v>25722.1</v>
      </c>
      <c r="L709" s="25">
        <f t="shared" si="101"/>
        <v>493.81</v>
      </c>
      <c r="M709" s="25">
        <f t="shared" si="102"/>
        <v>0</v>
      </c>
      <c r="N709" s="84" t="str">
        <f t="shared" si="103"/>
        <v>ACTIVE</v>
      </c>
      <c r="O709" s="23">
        <f t="shared" si="104"/>
        <v>1</v>
      </c>
    </row>
    <row r="710" spans="1:15" ht="20" customHeight="1">
      <c r="A710" s="22" t="str">
        <f t="shared" si="108"/>
        <v>True Biweekly</v>
      </c>
      <c r="B710" s="23">
        <f>IF($E710="","",24)</f>
        <v>24</v>
      </c>
      <c r="C710" s="24">
        <f>IF($E710="","",Inputs!$B$9+(23*Inputs!$B$21))</f>
        <v>46614</v>
      </c>
      <c r="D710" s="23">
        <f t="shared" si="109"/>
        <v>14</v>
      </c>
      <c r="E710" s="25">
        <f t="shared" si="110"/>
        <v>25722.1</v>
      </c>
      <c r="F710" s="25">
        <f>IF($E710="","",ROUND(MIN(Comparison!$D$5,MAX(0,$E710+$H710)),2))</f>
        <v>493.81</v>
      </c>
      <c r="G710" s="25">
        <f>IF($E710="","",ROUND(MIN(Inputs!$B$10,MAX(0,$E710+$H710-$F710)),2))</f>
        <v>0</v>
      </c>
      <c r="H710" s="25">
        <f>IF($E710="","",ROUND(IF(Inputs!$B$12="Daily Simple Interest",$E710*Inputs!$B$6/Inputs!$B$17*$D710,$E710*Inputs!$B$6/Inputs!$B$20),2))</f>
        <v>71.53</v>
      </c>
      <c r="I710" s="25">
        <f t="shared" si="99"/>
        <v>422.28</v>
      </c>
      <c r="J710" s="25">
        <f>IF($E710="","",IF($F710+$G710&gt;0,Inputs!$B$11,0))</f>
        <v>0</v>
      </c>
      <c r="K710" s="25">
        <f t="shared" si="100"/>
        <v>25299.82</v>
      </c>
      <c r="L710" s="25">
        <f t="shared" si="101"/>
        <v>493.81</v>
      </c>
      <c r="M710" s="25">
        <f t="shared" si="102"/>
        <v>0</v>
      </c>
      <c r="N710" s="84" t="str">
        <f t="shared" si="103"/>
        <v>ACTIVE</v>
      </c>
      <c r="O710" s="23">
        <f t="shared" si="104"/>
        <v>1</v>
      </c>
    </row>
    <row r="711" spans="1:15" ht="20" customHeight="1">
      <c r="A711" s="22" t="str">
        <f t="shared" si="108"/>
        <v>True Biweekly</v>
      </c>
      <c r="B711" s="23">
        <f>IF($E711="","",25)</f>
        <v>25</v>
      </c>
      <c r="C711" s="24">
        <f>IF($E711="","",Inputs!$B$9+(24*Inputs!$B$21))</f>
        <v>46628</v>
      </c>
      <c r="D711" s="23">
        <f t="shared" si="109"/>
        <v>14</v>
      </c>
      <c r="E711" s="25">
        <f t="shared" si="110"/>
        <v>25299.82</v>
      </c>
      <c r="F711" s="25">
        <f>IF($E711="","",ROUND(MIN(Comparison!$D$5,MAX(0,$E711+$H711)),2))</f>
        <v>493.81</v>
      </c>
      <c r="G711" s="25">
        <f>IF($E711="","",ROUND(MIN(Inputs!$B$10,MAX(0,$E711+$H711-$F711)),2))</f>
        <v>0</v>
      </c>
      <c r="H711" s="25">
        <f>IF($E711="","",ROUND(IF(Inputs!$B$12="Daily Simple Interest",$E711*Inputs!$B$6/Inputs!$B$17*$D711,$E711*Inputs!$B$6/Inputs!$B$20),2))</f>
        <v>70.349999999999994</v>
      </c>
      <c r="I711" s="25">
        <f t="shared" ref="I711:I774" si="111">IF($E711="","",ROUND($F711+$G711-$H711,2))</f>
        <v>423.46</v>
      </c>
      <c r="J711" s="25">
        <f>IF($E711="","",IF($F711+$G711&gt;0,Inputs!$B$11,0))</f>
        <v>0</v>
      </c>
      <c r="K711" s="25">
        <f t="shared" ref="K711:K774" si="112">IF($E711="","",ROUND(MAX(0,$E711-$I711),2))</f>
        <v>24876.36</v>
      </c>
      <c r="L711" s="25">
        <f t="shared" ref="L711:L774" si="113">IF($E711="","",$F711+$G711)</f>
        <v>493.81</v>
      </c>
      <c r="M711" s="25">
        <f t="shared" ref="M711:M774" si="114">IF($E711="","",0)</f>
        <v>0</v>
      </c>
      <c r="N711" s="84" t="str">
        <f t="shared" ref="N711:N774" si="115">IF($E711="","",IF($K711&lt;=0.005,"PAID OFF","ACTIVE"))</f>
        <v>ACTIVE</v>
      </c>
      <c r="O711" s="23">
        <f t="shared" ref="O711:O774" si="116">IF($E711="","",IF($F711+$G711&gt;0,1,0))</f>
        <v>1</v>
      </c>
    </row>
    <row r="712" spans="1:15" ht="20" customHeight="1">
      <c r="A712" s="22" t="str">
        <f t="shared" si="108"/>
        <v>True Biweekly</v>
      </c>
      <c r="B712" s="23">
        <f>IF($E712="","",26)</f>
        <v>26</v>
      </c>
      <c r="C712" s="24">
        <f>IF($E712="","",Inputs!$B$9+(25*Inputs!$B$21))</f>
        <v>46642</v>
      </c>
      <c r="D712" s="23">
        <f t="shared" si="109"/>
        <v>14</v>
      </c>
      <c r="E712" s="25">
        <f t="shared" si="110"/>
        <v>24876.36</v>
      </c>
      <c r="F712" s="25">
        <f>IF($E712="","",ROUND(MIN(Comparison!$D$5,MAX(0,$E712+$H712)),2))</f>
        <v>493.81</v>
      </c>
      <c r="G712" s="25">
        <f>IF($E712="","",ROUND(MIN(Inputs!$B$10,MAX(0,$E712+$H712-$F712)),2))</f>
        <v>0</v>
      </c>
      <c r="H712" s="25">
        <f>IF($E712="","",ROUND(IF(Inputs!$B$12="Daily Simple Interest",$E712*Inputs!$B$6/Inputs!$B$17*$D712,$E712*Inputs!$B$6/Inputs!$B$20),2))</f>
        <v>69.180000000000007</v>
      </c>
      <c r="I712" s="25">
        <f t="shared" si="111"/>
        <v>424.63</v>
      </c>
      <c r="J712" s="25">
        <f>IF($E712="","",IF($F712+$G712&gt;0,Inputs!$B$11,0))</f>
        <v>0</v>
      </c>
      <c r="K712" s="25">
        <f t="shared" si="112"/>
        <v>24451.73</v>
      </c>
      <c r="L712" s="25">
        <f t="shared" si="113"/>
        <v>493.81</v>
      </c>
      <c r="M712" s="25">
        <f t="shared" si="114"/>
        <v>0</v>
      </c>
      <c r="N712" s="84" t="str">
        <f t="shared" si="115"/>
        <v>ACTIVE</v>
      </c>
      <c r="O712" s="23">
        <f t="shared" si="116"/>
        <v>1</v>
      </c>
    </row>
    <row r="713" spans="1:15" ht="20" customHeight="1">
      <c r="A713" s="22" t="str">
        <f t="shared" si="108"/>
        <v>True Biweekly</v>
      </c>
      <c r="B713" s="23">
        <f>IF($E713="","",27)</f>
        <v>27</v>
      </c>
      <c r="C713" s="24">
        <f>IF($E713="","",Inputs!$B$9+(26*Inputs!$B$21))</f>
        <v>46656</v>
      </c>
      <c r="D713" s="23">
        <f t="shared" si="109"/>
        <v>14</v>
      </c>
      <c r="E713" s="25">
        <f t="shared" si="110"/>
        <v>24451.73</v>
      </c>
      <c r="F713" s="25">
        <f>IF($E713="","",ROUND(MIN(Comparison!$D$5,MAX(0,$E713+$H713)),2))</f>
        <v>493.81</v>
      </c>
      <c r="G713" s="25">
        <f>IF($E713="","",ROUND(MIN(Inputs!$B$10,MAX(0,$E713+$H713-$F713)),2))</f>
        <v>0</v>
      </c>
      <c r="H713" s="25">
        <f>IF($E713="","",ROUND(IF(Inputs!$B$12="Daily Simple Interest",$E713*Inputs!$B$6/Inputs!$B$17*$D713,$E713*Inputs!$B$6/Inputs!$B$20),2))</f>
        <v>68</v>
      </c>
      <c r="I713" s="25">
        <f t="shared" si="111"/>
        <v>425.81</v>
      </c>
      <c r="J713" s="25">
        <f>IF($E713="","",IF($F713+$G713&gt;0,Inputs!$B$11,0))</f>
        <v>0</v>
      </c>
      <c r="K713" s="25">
        <f t="shared" si="112"/>
        <v>24025.919999999998</v>
      </c>
      <c r="L713" s="25">
        <f t="shared" si="113"/>
        <v>493.81</v>
      </c>
      <c r="M713" s="25">
        <f t="shared" si="114"/>
        <v>0</v>
      </c>
      <c r="N713" s="84" t="str">
        <f t="shared" si="115"/>
        <v>ACTIVE</v>
      </c>
      <c r="O713" s="23">
        <f t="shared" si="116"/>
        <v>1</v>
      </c>
    </row>
    <row r="714" spans="1:15" ht="20" customHeight="1">
      <c r="A714" s="22" t="str">
        <f t="shared" si="108"/>
        <v>True Biweekly</v>
      </c>
      <c r="B714" s="23">
        <f>IF($E714="","",28)</f>
        <v>28</v>
      </c>
      <c r="C714" s="24">
        <f>IF($E714="","",Inputs!$B$9+(27*Inputs!$B$21))</f>
        <v>46670</v>
      </c>
      <c r="D714" s="23">
        <f t="shared" si="109"/>
        <v>14</v>
      </c>
      <c r="E714" s="25">
        <f t="shared" si="110"/>
        <v>24025.919999999998</v>
      </c>
      <c r="F714" s="25">
        <f>IF($E714="","",ROUND(MIN(Comparison!$D$5,MAX(0,$E714+$H714)),2))</f>
        <v>493.81</v>
      </c>
      <c r="G714" s="25">
        <f>IF($E714="","",ROUND(MIN(Inputs!$B$10,MAX(0,$E714+$H714-$F714)),2))</f>
        <v>0</v>
      </c>
      <c r="H714" s="25">
        <f>IF($E714="","",ROUND(IF(Inputs!$B$12="Daily Simple Interest",$E714*Inputs!$B$6/Inputs!$B$17*$D714,$E714*Inputs!$B$6/Inputs!$B$20),2))</f>
        <v>66.81</v>
      </c>
      <c r="I714" s="25">
        <f t="shared" si="111"/>
        <v>427</v>
      </c>
      <c r="J714" s="25">
        <f>IF($E714="","",IF($F714+$G714&gt;0,Inputs!$B$11,0))</f>
        <v>0</v>
      </c>
      <c r="K714" s="25">
        <f t="shared" si="112"/>
        <v>23598.92</v>
      </c>
      <c r="L714" s="25">
        <f t="shared" si="113"/>
        <v>493.81</v>
      </c>
      <c r="M714" s="25">
        <f t="shared" si="114"/>
        <v>0</v>
      </c>
      <c r="N714" s="84" t="str">
        <f t="shared" si="115"/>
        <v>ACTIVE</v>
      </c>
      <c r="O714" s="23">
        <f t="shared" si="116"/>
        <v>1</v>
      </c>
    </row>
    <row r="715" spans="1:15" ht="20" customHeight="1">
      <c r="A715" s="22" t="str">
        <f t="shared" si="108"/>
        <v>True Biweekly</v>
      </c>
      <c r="B715" s="23">
        <f>IF($E715="","",29)</f>
        <v>29</v>
      </c>
      <c r="C715" s="24">
        <f>IF($E715="","",Inputs!$B$9+(28*Inputs!$B$21))</f>
        <v>46684</v>
      </c>
      <c r="D715" s="23">
        <f t="shared" si="109"/>
        <v>14</v>
      </c>
      <c r="E715" s="25">
        <f t="shared" si="110"/>
        <v>23598.92</v>
      </c>
      <c r="F715" s="25">
        <f>IF($E715="","",ROUND(MIN(Comparison!$D$5,MAX(0,$E715+$H715)),2))</f>
        <v>493.81</v>
      </c>
      <c r="G715" s="25">
        <f>IF($E715="","",ROUND(MIN(Inputs!$B$10,MAX(0,$E715+$H715-$F715)),2))</f>
        <v>0</v>
      </c>
      <c r="H715" s="25">
        <f>IF($E715="","",ROUND(IF(Inputs!$B$12="Daily Simple Interest",$E715*Inputs!$B$6/Inputs!$B$17*$D715,$E715*Inputs!$B$6/Inputs!$B$20),2))</f>
        <v>65.62</v>
      </c>
      <c r="I715" s="25">
        <f t="shared" si="111"/>
        <v>428.19</v>
      </c>
      <c r="J715" s="25">
        <f>IF($E715="","",IF($F715+$G715&gt;0,Inputs!$B$11,0))</f>
        <v>0</v>
      </c>
      <c r="K715" s="25">
        <f t="shared" si="112"/>
        <v>23170.73</v>
      </c>
      <c r="L715" s="25">
        <f t="shared" si="113"/>
        <v>493.81</v>
      </c>
      <c r="M715" s="25">
        <f t="shared" si="114"/>
        <v>0</v>
      </c>
      <c r="N715" s="84" t="str">
        <f t="shared" si="115"/>
        <v>ACTIVE</v>
      </c>
      <c r="O715" s="23">
        <f t="shared" si="116"/>
        <v>1</v>
      </c>
    </row>
    <row r="716" spans="1:15" ht="20" customHeight="1">
      <c r="A716" s="22" t="str">
        <f t="shared" si="108"/>
        <v>True Biweekly</v>
      </c>
      <c r="B716" s="23">
        <f>IF($E716="","",30)</f>
        <v>30</v>
      </c>
      <c r="C716" s="24">
        <f>IF($E716="","",Inputs!$B$9+(29*Inputs!$B$21))</f>
        <v>46698</v>
      </c>
      <c r="D716" s="23">
        <f t="shared" si="109"/>
        <v>14</v>
      </c>
      <c r="E716" s="25">
        <f t="shared" si="110"/>
        <v>23170.73</v>
      </c>
      <c r="F716" s="25">
        <f>IF($E716="","",ROUND(MIN(Comparison!$D$5,MAX(0,$E716+$H716)),2))</f>
        <v>493.81</v>
      </c>
      <c r="G716" s="25">
        <f>IF($E716="","",ROUND(MIN(Inputs!$B$10,MAX(0,$E716+$H716-$F716)),2))</f>
        <v>0</v>
      </c>
      <c r="H716" s="25">
        <f>IF($E716="","",ROUND(IF(Inputs!$B$12="Daily Simple Interest",$E716*Inputs!$B$6/Inputs!$B$17*$D716,$E716*Inputs!$B$6/Inputs!$B$20),2))</f>
        <v>64.430000000000007</v>
      </c>
      <c r="I716" s="25">
        <f t="shared" si="111"/>
        <v>429.38</v>
      </c>
      <c r="J716" s="25">
        <f>IF($E716="","",IF($F716+$G716&gt;0,Inputs!$B$11,0))</f>
        <v>0</v>
      </c>
      <c r="K716" s="25">
        <f t="shared" si="112"/>
        <v>22741.35</v>
      </c>
      <c r="L716" s="25">
        <f t="shared" si="113"/>
        <v>493.81</v>
      </c>
      <c r="M716" s="25">
        <f t="shared" si="114"/>
        <v>0</v>
      </c>
      <c r="N716" s="84" t="str">
        <f t="shared" si="115"/>
        <v>ACTIVE</v>
      </c>
      <c r="O716" s="23">
        <f t="shared" si="116"/>
        <v>1</v>
      </c>
    </row>
    <row r="717" spans="1:15" ht="20" customHeight="1">
      <c r="A717" s="22" t="str">
        <f t="shared" si="108"/>
        <v>True Biweekly</v>
      </c>
      <c r="B717" s="23">
        <f>IF($E717="","",31)</f>
        <v>31</v>
      </c>
      <c r="C717" s="24">
        <f>IF($E717="","",Inputs!$B$9+(30*Inputs!$B$21))</f>
        <v>46712</v>
      </c>
      <c r="D717" s="23">
        <f t="shared" si="109"/>
        <v>14</v>
      </c>
      <c r="E717" s="25">
        <f t="shared" si="110"/>
        <v>22741.35</v>
      </c>
      <c r="F717" s="25">
        <f>IF($E717="","",ROUND(MIN(Comparison!$D$5,MAX(0,$E717+$H717)),2))</f>
        <v>493.81</v>
      </c>
      <c r="G717" s="25">
        <f>IF($E717="","",ROUND(MIN(Inputs!$B$10,MAX(0,$E717+$H717-$F717)),2))</f>
        <v>0</v>
      </c>
      <c r="H717" s="25">
        <f>IF($E717="","",ROUND(IF(Inputs!$B$12="Daily Simple Interest",$E717*Inputs!$B$6/Inputs!$B$17*$D717,$E717*Inputs!$B$6/Inputs!$B$20),2))</f>
        <v>63.24</v>
      </c>
      <c r="I717" s="25">
        <f t="shared" si="111"/>
        <v>430.57</v>
      </c>
      <c r="J717" s="25">
        <f>IF($E717="","",IF($F717+$G717&gt;0,Inputs!$B$11,0))</f>
        <v>0</v>
      </c>
      <c r="K717" s="25">
        <f t="shared" si="112"/>
        <v>22310.78</v>
      </c>
      <c r="L717" s="25">
        <f t="shared" si="113"/>
        <v>493.81</v>
      </c>
      <c r="M717" s="25">
        <f t="shared" si="114"/>
        <v>0</v>
      </c>
      <c r="N717" s="84" t="str">
        <f t="shared" si="115"/>
        <v>ACTIVE</v>
      </c>
      <c r="O717" s="23">
        <f t="shared" si="116"/>
        <v>1</v>
      </c>
    </row>
    <row r="718" spans="1:15" ht="20" customHeight="1">
      <c r="A718" s="22" t="str">
        <f t="shared" si="108"/>
        <v>True Biweekly</v>
      </c>
      <c r="B718" s="23">
        <f>IF($E718="","",32)</f>
        <v>32</v>
      </c>
      <c r="C718" s="24">
        <f>IF($E718="","",Inputs!$B$9+(31*Inputs!$B$21))</f>
        <v>46726</v>
      </c>
      <c r="D718" s="23">
        <f t="shared" si="109"/>
        <v>14</v>
      </c>
      <c r="E718" s="25">
        <f t="shared" si="110"/>
        <v>22310.78</v>
      </c>
      <c r="F718" s="25">
        <f>IF($E718="","",ROUND(MIN(Comparison!$D$5,MAX(0,$E718+$H718)),2))</f>
        <v>493.81</v>
      </c>
      <c r="G718" s="25">
        <f>IF($E718="","",ROUND(MIN(Inputs!$B$10,MAX(0,$E718+$H718-$F718)),2))</f>
        <v>0</v>
      </c>
      <c r="H718" s="25">
        <f>IF($E718="","",ROUND(IF(Inputs!$B$12="Daily Simple Interest",$E718*Inputs!$B$6/Inputs!$B$17*$D718,$E718*Inputs!$B$6/Inputs!$B$20),2))</f>
        <v>62.04</v>
      </c>
      <c r="I718" s="25">
        <f t="shared" si="111"/>
        <v>431.77</v>
      </c>
      <c r="J718" s="25">
        <f>IF($E718="","",IF($F718+$G718&gt;0,Inputs!$B$11,0))</f>
        <v>0</v>
      </c>
      <c r="K718" s="25">
        <f t="shared" si="112"/>
        <v>21879.01</v>
      </c>
      <c r="L718" s="25">
        <f t="shared" si="113"/>
        <v>493.81</v>
      </c>
      <c r="M718" s="25">
        <f t="shared" si="114"/>
        <v>0</v>
      </c>
      <c r="N718" s="84" t="str">
        <f t="shared" si="115"/>
        <v>ACTIVE</v>
      </c>
      <c r="O718" s="23">
        <f t="shared" si="116"/>
        <v>1</v>
      </c>
    </row>
    <row r="719" spans="1:15" ht="20" customHeight="1">
      <c r="A719" s="22" t="str">
        <f t="shared" si="108"/>
        <v>True Biweekly</v>
      </c>
      <c r="B719" s="23">
        <f>IF($E719="","",33)</f>
        <v>33</v>
      </c>
      <c r="C719" s="24">
        <f>IF($E719="","",Inputs!$B$9+(32*Inputs!$B$21))</f>
        <v>46740</v>
      </c>
      <c r="D719" s="23">
        <f t="shared" si="109"/>
        <v>14</v>
      </c>
      <c r="E719" s="25">
        <f t="shared" si="110"/>
        <v>21879.01</v>
      </c>
      <c r="F719" s="25">
        <f>IF($E719="","",ROUND(MIN(Comparison!$D$5,MAX(0,$E719+$H719)),2))</f>
        <v>493.81</v>
      </c>
      <c r="G719" s="25">
        <f>IF($E719="","",ROUND(MIN(Inputs!$B$10,MAX(0,$E719+$H719-$F719)),2))</f>
        <v>0</v>
      </c>
      <c r="H719" s="25">
        <f>IF($E719="","",ROUND(IF(Inputs!$B$12="Daily Simple Interest",$E719*Inputs!$B$6/Inputs!$B$17*$D719,$E719*Inputs!$B$6/Inputs!$B$20),2))</f>
        <v>60.84</v>
      </c>
      <c r="I719" s="25">
        <f t="shared" si="111"/>
        <v>432.97</v>
      </c>
      <c r="J719" s="25">
        <f>IF($E719="","",IF($F719+$G719&gt;0,Inputs!$B$11,0))</f>
        <v>0</v>
      </c>
      <c r="K719" s="25">
        <f t="shared" si="112"/>
        <v>21446.04</v>
      </c>
      <c r="L719" s="25">
        <f t="shared" si="113"/>
        <v>493.81</v>
      </c>
      <c r="M719" s="25">
        <f t="shared" si="114"/>
        <v>0</v>
      </c>
      <c r="N719" s="84" t="str">
        <f t="shared" si="115"/>
        <v>ACTIVE</v>
      </c>
      <c r="O719" s="23">
        <f t="shared" si="116"/>
        <v>1</v>
      </c>
    </row>
    <row r="720" spans="1:15" ht="20" customHeight="1">
      <c r="A720" s="22" t="str">
        <f t="shared" si="108"/>
        <v>True Biweekly</v>
      </c>
      <c r="B720" s="23">
        <f>IF($E720="","",34)</f>
        <v>34</v>
      </c>
      <c r="C720" s="24">
        <f>IF($E720="","",Inputs!$B$9+(33*Inputs!$B$21))</f>
        <v>46754</v>
      </c>
      <c r="D720" s="23">
        <f t="shared" si="109"/>
        <v>14</v>
      </c>
      <c r="E720" s="25">
        <f t="shared" si="110"/>
        <v>21446.04</v>
      </c>
      <c r="F720" s="25">
        <f>IF($E720="","",ROUND(MIN(Comparison!$D$5,MAX(0,$E720+$H720)),2))</f>
        <v>493.81</v>
      </c>
      <c r="G720" s="25">
        <f>IF($E720="","",ROUND(MIN(Inputs!$B$10,MAX(0,$E720+$H720-$F720)),2))</f>
        <v>0</v>
      </c>
      <c r="H720" s="25">
        <f>IF($E720="","",ROUND(IF(Inputs!$B$12="Daily Simple Interest",$E720*Inputs!$B$6/Inputs!$B$17*$D720,$E720*Inputs!$B$6/Inputs!$B$20),2))</f>
        <v>59.64</v>
      </c>
      <c r="I720" s="25">
        <f t="shared" si="111"/>
        <v>434.17</v>
      </c>
      <c r="J720" s="25">
        <f>IF($E720="","",IF($F720+$G720&gt;0,Inputs!$B$11,0))</f>
        <v>0</v>
      </c>
      <c r="K720" s="25">
        <f t="shared" si="112"/>
        <v>21011.87</v>
      </c>
      <c r="L720" s="25">
        <f t="shared" si="113"/>
        <v>493.81</v>
      </c>
      <c r="M720" s="25">
        <f t="shared" si="114"/>
        <v>0</v>
      </c>
      <c r="N720" s="84" t="str">
        <f t="shared" si="115"/>
        <v>ACTIVE</v>
      </c>
      <c r="O720" s="23">
        <f t="shared" si="116"/>
        <v>1</v>
      </c>
    </row>
    <row r="721" spans="1:15" ht="20" customHeight="1">
      <c r="A721" s="22" t="str">
        <f t="shared" si="108"/>
        <v>True Biweekly</v>
      </c>
      <c r="B721" s="23">
        <f>IF($E721="","",35)</f>
        <v>35</v>
      </c>
      <c r="C721" s="24">
        <f>IF($E721="","",Inputs!$B$9+(34*Inputs!$B$21))</f>
        <v>46768</v>
      </c>
      <c r="D721" s="23">
        <f t="shared" si="109"/>
        <v>14</v>
      </c>
      <c r="E721" s="25">
        <f t="shared" si="110"/>
        <v>21011.87</v>
      </c>
      <c r="F721" s="25">
        <f>IF($E721="","",ROUND(MIN(Comparison!$D$5,MAX(0,$E721+$H721)),2))</f>
        <v>493.81</v>
      </c>
      <c r="G721" s="25">
        <f>IF($E721="","",ROUND(MIN(Inputs!$B$10,MAX(0,$E721+$H721-$F721)),2))</f>
        <v>0</v>
      </c>
      <c r="H721" s="25">
        <f>IF($E721="","",ROUND(IF(Inputs!$B$12="Daily Simple Interest",$E721*Inputs!$B$6/Inputs!$B$17*$D721,$E721*Inputs!$B$6/Inputs!$B$20),2))</f>
        <v>58.43</v>
      </c>
      <c r="I721" s="25">
        <f t="shared" si="111"/>
        <v>435.38</v>
      </c>
      <c r="J721" s="25">
        <f>IF($E721="","",IF($F721+$G721&gt;0,Inputs!$B$11,0))</f>
        <v>0</v>
      </c>
      <c r="K721" s="25">
        <f t="shared" si="112"/>
        <v>20576.490000000002</v>
      </c>
      <c r="L721" s="25">
        <f t="shared" si="113"/>
        <v>493.81</v>
      </c>
      <c r="M721" s="25">
        <f t="shared" si="114"/>
        <v>0</v>
      </c>
      <c r="N721" s="84" t="str">
        <f t="shared" si="115"/>
        <v>ACTIVE</v>
      </c>
      <c r="O721" s="23">
        <f t="shared" si="116"/>
        <v>1</v>
      </c>
    </row>
    <row r="722" spans="1:15" ht="20" customHeight="1">
      <c r="A722" s="22" t="str">
        <f t="shared" si="108"/>
        <v>True Biweekly</v>
      </c>
      <c r="B722" s="23">
        <f>IF($E722="","",36)</f>
        <v>36</v>
      </c>
      <c r="C722" s="24">
        <f>IF($E722="","",Inputs!$B$9+(35*Inputs!$B$21))</f>
        <v>46782</v>
      </c>
      <c r="D722" s="23">
        <f t="shared" si="109"/>
        <v>14</v>
      </c>
      <c r="E722" s="25">
        <f t="shared" si="110"/>
        <v>20576.490000000002</v>
      </c>
      <c r="F722" s="25">
        <f>IF($E722="","",ROUND(MIN(Comparison!$D$5,MAX(0,$E722+$H722)),2))</f>
        <v>493.81</v>
      </c>
      <c r="G722" s="25">
        <f>IF($E722="","",ROUND(MIN(Inputs!$B$10,MAX(0,$E722+$H722-$F722)),2))</f>
        <v>0</v>
      </c>
      <c r="H722" s="25">
        <f>IF($E722="","",ROUND(IF(Inputs!$B$12="Daily Simple Interest",$E722*Inputs!$B$6/Inputs!$B$17*$D722,$E722*Inputs!$B$6/Inputs!$B$20),2))</f>
        <v>57.22</v>
      </c>
      <c r="I722" s="25">
        <f t="shared" si="111"/>
        <v>436.59</v>
      </c>
      <c r="J722" s="25">
        <f>IF($E722="","",IF($F722+$G722&gt;0,Inputs!$B$11,0))</f>
        <v>0</v>
      </c>
      <c r="K722" s="25">
        <f t="shared" si="112"/>
        <v>20139.900000000001</v>
      </c>
      <c r="L722" s="25">
        <f t="shared" si="113"/>
        <v>493.81</v>
      </c>
      <c r="M722" s="25">
        <f t="shared" si="114"/>
        <v>0</v>
      </c>
      <c r="N722" s="84" t="str">
        <f t="shared" si="115"/>
        <v>ACTIVE</v>
      </c>
      <c r="O722" s="23">
        <f t="shared" si="116"/>
        <v>1</v>
      </c>
    </row>
    <row r="723" spans="1:15" ht="20" customHeight="1">
      <c r="A723" s="22" t="str">
        <f t="shared" si="108"/>
        <v>True Biweekly</v>
      </c>
      <c r="B723" s="23">
        <f>IF($E723="","",37)</f>
        <v>37</v>
      </c>
      <c r="C723" s="24">
        <f>IF($E723="","",Inputs!$B$9+(36*Inputs!$B$21))</f>
        <v>46796</v>
      </c>
      <c r="D723" s="23">
        <f t="shared" si="109"/>
        <v>14</v>
      </c>
      <c r="E723" s="25">
        <f t="shared" si="110"/>
        <v>20139.900000000001</v>
      </c>
      <c r="F723" s="25">
        <f>IF($E723="","",ROUND(MIN(Comparison!$D$5,MAX(0,$E723+$H723)),2))</f>
        <v>493.81</v>
      </c>
      <c r="G723" s="25">
        <f>IF($E723="","",ROUND(MIN(Inputs!$B$10,MAX(0,$E723+$H723-$F723)),2))</f>
        <v>0</v>
      </c>
      <c r="H723" s="25">
        <f>IF($E723="","",ROUND(IF(Inputs!$B$12="Daily Simple Interest",$E723*Inputs!$B$6/Inputs!$B$17*$D723,$E723*Inputs!$B$6/Inputs!$B$20),2))</f>
        <v>56.01</v>
      </c>
      <c r="I723" s="25">
        <f t="shared" si="111"/>
        <v>437.8</v>
      </c>
      <c r="J723" s="25">
        <f>IF($E723="","",IF($F723+$G723&gt;0,Inputs!$B$11,0))</f>
        <v>0</v>
      </c>
      <c r="K723" s="25">
        <f t="shared" si="112"/>
        <v>19702.099999999999</v>
      </c>
      <c r="L723" s="25">
        <f t="shared" si="113"/>
        <v>493.81</v>
      </c>
      <c r="M723" s="25">
        <f t="shared" si="114"/>
        <v>0</v>
      </c>
      <c r="N723" s="84" t="str">
        <f t="shared" si="115"/>
        <v>ACTIVE</v>
      </c>
      <c r="O723" s="23">
        <f t="shared" si="116"/>
        <v>1</v>
      </c>
    </row>
    <row r="724" spans="1:15" ht="20" customHeight="1">
      <c r="A724" s="22" t="str">
        <f t="shared" si="108"/>
        <v>True Biweekly</v>
      </c>
      <c r="B724" s="23">
        <f>IF($E724="","",38)</f>
        <v>38</v>
      </c>
      <c r="C724" s="24">
        <f>IF($E724="","",Inputs!$B$9+(37*Inputs!$B$21))</f>
        <v>46810</v>
      </c>
      <c r="D724" s="23">
        <f t="shared" si="109"/>
        <v>14</v>
      </c>
      <c r="E724" s="25">
        <f t="shared" si="110"/>
        <v>19702.099999999999</v>
      </c>
      <c r="F724" s="25">
        <f>IF($E724="","",ROUND(MIN(Comparison!$D$5,MAX(0,$E724+$H724)),2))</f>
        <v>493.81</v>
      </c>
      <c r="G724" s="25">
        <f>IF($E724="","",ROUND(MIN(Inputs!$B$10,MAX(0,$E724+$H724-$F724)),2))</f>
        <v>0</v>
      </c>
      <c r="H724" s="25">
        <f>IF($E724="","",ROUND(IF(Inputs!$B$12="Daily Simple Interest",$E724*Inputs!$B$6/Inputs!$B$17*$D724,$E724*Inputs!$B$6/Inputs!$B$20),2))</f>
        <v>54.79</v>
      </c>
      <c r="I724" s="25">
        <f t="shared" si="111"/>
        <v>439.02</v>
      </c>
      <c r="J724" s="25">
        <f>IF($E724="","",IF($F724+$G724&gt;0,Inputs!$B$11,0))</f>
        <v>0</v>
      </c>
      <c r="K724" s="25">
        <f t="shared" si="112"/>
        <v>19263.080000000002</v>
      </c>
      <c r="L724" s="25">
        <f t="shared" si="113"/>
        <v>493.81</v>
      </c>
      <c r="M724" s="25">
        <f t="shared" si="114"/>
        <v>0</v>
      </c>
      <c r="N724" s="84" t="str">
        <f t="shared" si="115"/>
        <v>ACTIVE</v>
      </c>
      <c r="O724" s="23">
        <f t="shared" si="116"/>
        <v>1</v>
      </c>
    </row>
    <row r="725" spans="1:15" ht="20" customHeight="1">
      <c r="A725" s="22" t="str">
        <f t="shared" si="108"/>
        <v>True Biweekly</v>
      </c>
      <c r="B725" s="23">
        <f>IF($E725="","",39)</f>
        <v>39</v>
      </c>
      <c r="C725" s="24">
        <f>IF($E725="","",Inputs!$B$9+(38*Inputs!$B$21))</f>
        <v>46824</v>
      </c>
      <c r="D725" s="23">
        <f t="shared" si="109"/>
        <v>14</v>
      </c>
      <c r="E725" s="25">
        <f t="shared" si="110"/>
        <v>19263.080000000002</v>
      </c>
      <c r="F725" s="25">
        <f>IF($E725="","",ROUND(MIN(Comparison!$D$5,MAX(0,$E725+$H725)),2))</f>
        <v>493.81</v>
      </c>
      <c r="G725" s="25">
        <f>IF($E725="","",ROUND(MIN(Inputs!$B$10,MAX(0,$E725+$H725-$F725)),2))</f>
        <v>0</v>
      </c>
      <c r="H725" s="25">
        <f>IF($E725="","",ROUND(IF(Inputs!$B$12="Daily Simple Interest",$E725*Inputs!$B$6/Inputs!$B$17*$D725,$E725*Inputs!$B$6/Inputs!$B$20),2))</f>
        <v>53.57</v>
      </c>
      <c r="I725" s="25">
        <f t="shared" si="111"/>
        <v>440.24</v>
      </c>
      <c r="J725" s="25">
        <f>IF($E725="","",IF($F725+$G725&gt;0,Inputs!$B$11,0))</f>
        <v>0</v>
      </c>
      <c r="K725" s="25">
        <f t="shared" si="112"/>
        <v>18822.84</v>
      </c>
      <c r="L725" s="25">
        <f t="shared" si="113"/>
        <v>493.81</v>
      </c>
      <c r="M725" s="25">
        <f t="shared" si="114"/>
        <v>0</v>
      </c>
      <c r="N725" s="84" t="str">
        <f t="shared" si="115"/>
        <v>ACTIVE</v>
      </c>
      <c r="O725" s="23">
        <f t="shared" si="116"/>
        <v>1</v>
      </c>
    </row>
    <row r="726" spans="1:15" ht="20" customHeight="1">
      <c r="A726" s="22" t="str">
        <f t="shared" si="108"/>
        <v>True Biweekly</v>
      </c>
      <c r="B726" s="23">
        <f>IF($E726="","",40)</f>
        <v>40</v>
      </c>
      <c r="C726" s="24">
        <f>IF($E726="","",Inputs!$B$9+(39*Inputs!$B$21))</f>
        <v>46838</v>
      </c>
      <c r="D726" s="23">
        <f t="shared" si="109"/>
        <v>14</v>
      </c>
      <c r="E726" s="25">
        <f t="shared" si="110"/>
        <v>18822.84</v>
      </c>
      <c r="F726" s="25">
        <f>IF($E726="","",ROUND(MIN(Comparison!$D$5,MAX(0,$E726+$H726)),2))</f>
        <v>493.81</v>
      </c>
      <c r="G726" s="25">
        <f>IF($E726="","",ROUND(MIN(Inputs!$B$10,MAX(0,$E726+$H726-$F726)),2))</f>
        <v>0</v>
      </c>
      <c r="H726" s="25">
        <f>IF($E726="","",ROUND(IF(Inputs!$B$12="Daily Simple Interest",$E726*Inputs!$B$6/Inputs!$B$17*$D726,$E726*Inputs!$B$6/Inputs!$B$20),2))</f>
        <v>52.34</v>
      </c>
      <c r="I726" s="25">
        <f t="shared" si="111"/>
        <v>441.47</v>
      </c>
      <c r="J726" s="25">
        <f>IF($E726="","",IF($F726+$G726&gt;0,Inputs!$B$11,0))</f>
        <v>0</v>
      </c>
      <c r="K726" s="25">
        <f t="shared" si="112"/>
        <v>18381.37</v>
      </c>
      <c r="L726" s="25">
        <f t="shared" si="113"/>
        <v>493.81</v>
      </c>
      <c r="M726" s="25">
        <f t="shared" si="114"/>
        <v>0</v>
      </c>
      <c r="N726" s="84" t="str">
        <f t="shared" si="115"/>
        <v>ACTIVE</v>
      </c>
      <c r="O726" s="23">
        <f t="shared" si="116"/>
        <v>1</v>
      </c>
    </row>
    <row r="727" spans="1:15" ht="20" customHeight="1">
      <c r="A727" s="22" t="str">
        <f t="shared" si="108"/>
        <v>True Biweekly</v>
      </c>
      <c r="B727" s="23">
        <f>IF($E727="","",41)</f>
        <v>41</v>
      </c>
      <c r="C727" s="24">
        <f>IF($E727="","",Inputs!$B$9+(40*Inputs!$B$21))</f>
        <v>46852</v>
      </c>
      <c r="D727" s="23">
        <f t="shared" si="109"/>
        <v>14</v>
      </c>
      <c r="E727" s="25">
        <f t="shared" si="110"/>
        <v>18381.37</v>
      </c>
      <c r="F727" s="25">
        <f>IF($E727="","",ROUND(MIN(Comparison!$D$5,MAX(0,$E727+$H727)),2))</f>
        <v>493.81</v>
      </c>
      <c r="G727" s="25">
        <f>IF($E727="","",ROUND(MIN(Inputs!$B$10,MAX(0,$E727+$H727-$F727)),2))</f>
        <v>0</v>
      </c>
      <c r="H727" s="25">
        <f>IF($E727="","",ROUND(IF(Inputs!$B$12="Daily Simple Interest",$E727*Inputs!$B$6/Inputs!$B$17*$D727,$E727*Inputs!$B$6/Inputs!$B$20),2))</f>
        <v>51.12</v>
      </c>
      <c r="I727" s="25">
        <f t="shared" si="111"/>
        <v>442.69</v>
      </c>
      <c r="J727" s="25">
        <f>IF($E727="","",IF($F727+$G727&gt;0,Inputs!$B$11,0))</f>
        <v>0</v>
      </c>
      <c r="K727" s="25">
        <f t="shared" si="112"/>
        <v>17938.68</v>
      </c>
      <c r="L727" s="25">
        <f t="shared" si="113"/>
        <v>493.81</v>
      </c>
      <c r="M727" s="25">
        <f t="shared" si="114"/>
        <v>0</v>
      </c>
      <c r="N727" s="84" t="str">
        <f t="shared" si="115"/>
        <v>ACTIVE</v>
      </c>
      <c r="O727" s="23">
        <f t="shared" si="116"/>
        <v>1</v>
      </c>
    </row>
    <row r="728" spans="1:15" ht="20" customHeight="1">
      <c r="A728" s="22" t="str">
        <f t="shared" si="108"/>
        <v>True Biweekly</v>
      </c>
      <c r="B728" s="23">
        <f>IF($E728="","",42)</f>
        <v>42</v>
      </c>
      <c r="C728" s="24">
        <f>IF($E728="","",Inputs!$B$9+(41*Inputs!$B$21))</f>
        <v>46866</v>
      </c>
      <c r="D728" s="23">
        <f t="shared" si="109"/>
        <v>14</v>
      </c>
      <c r="E728" s="25">
        <f t="shared" si="110"/>
        <v>17938.68</v>
      </c>
      <c r="F728" s="25">
        <f>IF($E728="","",ROUND(MIN(Comparison!$D$5,MAX(0,$E728+$H728)),2))</f>
        <v>493.81</v>
      </c>
      <c r="G728" s="25">
        <f>IF($E728="","",ROUND(MIN(Inputs!$B$10,MAX(0,$E728+$H728-$F728)),2))</f>
        <v>0</v>
      </c>
      <c r="H728" s="25">
        <f>IF($E728="","",ROUND(IF(Inputs!$B$12="Daily Simple Interest",$E728*Inputs!$B$6/Inputs!$B$17*$D728,$E728*Inputs!$B$6/Inputs!$B$20),2))</f>
        <v>49.88</v>
      </c>
      <c r="I728" s="25">
        <f t="shared" si="111"/>
        <v>443.93</v>
      </c>
      <c r="J728" s="25">
        <f>IF($E728="","",IF($F728+$G728&gt;0,Inputs!$B$11,0))</f>
        <v>0</v>
      </c>
      <c r="K728" s="25">
        <f t="shared" si="112"/>
        <v>17494.75</v>
      </c>
      <c r="L728" s="25">
        <f t="shared" si="113"/>
        <v>493.81</v>
      </c>
      <c r="M728" s="25">
        <f t="shared" si="114"/>
        <v>0</v>
      </c>
      <c r="N728" s="84" t="str">
        <f t="shared" si="115"/>
        <v>ACTIVE</v>
      </c>
      <c r="O728" s="23">
        <f t="shared" si="116"/>
        <v>1</v>
      </c>
    </row>
    <row r="729" spans="1:15" ht="20" customHeight="1">
      <c r="A729" s="22" t="str">
        <f t="shared" si="108"/>
        <v>True Biweekly</v>
      </c>
      <c r="B729" s="23">
        <f>IF($E729="","",43)</f>
        <v>43</v>
      </c>
      <c r="C729" s="24">
        <f>IF($E729="","",Inputs!$B$9+(42*Inputs!$B$21))</f>
        <v>46880</v>
      </c>
      <c r="D729" s="23">
        <f t="shared" si="109"/>
        <v>14</v>
      </c>
      <c r="E729" s="25">
        <f t="shared" si="110"/>
        <v>17494.75</v>
      </c>
      <c r="F729" s="25">
        <f>IF($E729="","",ROUND(MIN(Comparison!$D$5,MAX(0,$E729+$H729)),2))</f>
        <v>493.81</v>
      </c>
      <c r="G729" s="25">
        <f>IF($E729="","",ROUND(MIN(Inputs!$B$10,MAX(0,$E729+$H729-$F729)),2))</f>
        <v>0</v>
      </c>
      <c r="H729" s="25">
        <f>IF($E729="","",ROUND(IF(Inputs!$B$12="Daily Simple Interest",$E729*Inputs!$B$6/Inputs!$B$17*$D729,$E729*Inputs!$B$6/Inputs!$B$20),2))</f>
        <v>48.65</v>
      </c>
      <c r="I729" s="25">
        <f t="shared" si="111"/>
        <v>445.16</v>
      </c>
      <c r="J729" s="25">
        <f>IF($E729="","",IF($F729+$G729&gt;0,Inputs!$B$11,0))</f>
        <v>0</v>
      </c>
      <c r="K729" s="25">
        <f t="shared" si="112"/>
        <v>17049.59</v>
      </c>
      <c r="L729" s="25">
        <f t="shared" si="113"/>
        <v>493.81</v>
      </c>
      <c r="M729" s="25">
        <f t="shared" si="114"/>
        <v>0</v>
      </c>
      <c r="N729" s="84" t="str">
        <f t="shared" si="115"/>
        <v>ACTIVE</v>
      </c>
      <c r="O729" s="23">
        <f t="shared" si="116"/>
        <v>1</v>
      </c>
    </row>
    <row r="730" spans="1:15" ht="20" customHeight="1">
      <c r="A730" s="22" t="str">
        <f t="shared" si="108"/>
        <v>True Biweekly</v>
      </c>
      <c r="B730" s="23">
        <f>IF($E730="","",44)</f>
        <v>44</v>
      </c>
      <c r="C730" s="24">
        <f>IF($E730="","",Inputs!$B$9+(43*Inputs!$B$21))</f>
        <v>46894</v>
      </c>
      <c r="D730" s="23">
        <f t="shared" si="109"/>
        <v>14</v>
      </c>
      <c r="E730" s="25">
        <f t="shared" si="110"/>
        <v>17049.59</v>
      </c>
      <c r="F730" s="25">
        <f>IF($E730="","",ROUND(MIN(Comparison!$D$5,MAX(0,$E730+$H730)),2))</f>
        <v>493.81</v>
      </c>
      <c r="G730" s="25">
        <f>IF($E730="","",ROUND(MIN(Inputs!$B$10,MAX(0,$E730+$H730-$F730)),2))</f>
        <v>0</v>
      </c>
      <c r="H730" s="25">
        <f>IF($E730="","",ROUND(IF(Inputs!$B$12="Daily Simple Interest",$E730*Inputs!$B$6/Inputs!$B$17*$D730,$E730*Inputs!$B$6/Inputs!$B$20),2))</f>
        <v>47.41</v>
      </c>
      <c r="I730" s="25">
        <f t="shared" si="111"/>
        <v>446.4</v>
      </c>
      <c r="J730" s="25">
        <f>IF($E730="","",IF($F730+$G730&gt;0,Inputs!$B$11,0))</f>
        <v>0</v>
      </c>
      <c r="K730" s="25">
        <f t="shared" si="112"/>
        <v>16603.189999999999</v>
      </c>
      <c r="L730" s="25">
        <f t="shared" si="113"/>
        <v>493.81</v>
      </c>
      <c r="M730" s="25">
        <f t="shared" si="114"/>
        <v>0</v>
      </c>
      <c r="N730" s="84" t="str">
        <f t="shared" si="115"/>
        <v>ACTIVE</v>
      </c>
      <c r="O730" s="23">
        <f t="shared" si="116"/>
        <v>1</v>
      </c>
    </row>
    <row r="731" spans="1:15" ht="20" customHeight="1">
      <c r="A731" s="22" t="str">
        <f t="shared" si="108"/>
        <v>True Biweekly</v>
      </c>
      <c r="B731" s="23">
        <f>IF($E731="","",45)</f>
        <v>45</v>
      </c>
      <c r="C731" s="24">
        <f>IF($E731="","",Inputs!$B$9+(44*Inputs!$B$21))</f>
        <v>46908</v>
      </c>
      <c r="D731" s="23">
        <f t="shared" si="109"/>
        <v>14</v>
      </c>
      <c r="E731" s="25">
        <f t="shared" si="110"/>
        <v>16603.189999999999</v>
      </c>
      <c r="F731" s="25">
        <f>IF($E731="","",ROUND(MIN(Comparison!$D$5,MAX(0,$E731+$H731)),2))</f>
        <v>493.81</v>
      </c>
      <c r="G731" s="25">
        <f>IF($E731="","",ROUND(MIN(Inputs!$B$10,MAX(0,$E731+$H731-$F731)),2))</f>
        <v>0</v>
      </c>
      <c r="H731" s="25">
        <f>IF($E731="","",ROUND(IF(Inputs!$B$12="Daily Simple Interest",$E731*Inputs!$B$6/Inputs!$B$17*$D731,$E731*Inputs!$B$6/Inputs!$B$20),2))</f>
        <v>46.17</v>
      </c>
      <c r="I731" s="25">
        <f t="shared" si="111"/>
        <v>447.64</v>
      </c>
      <c r="J731" s="25">
        <f>IF($E731="","",IF($F731+$G731&gt;0,Inputs!$B$11,0))</f>
        <v>0</v>
      </c>
      <c r="K731" s="25">
        <f t="shared" si="112"/>
        <v>16155.55</v>
      </c>
      <c r="L731" s="25">
        <f t="shared" si="113"/>
        <v>493.81</v>
      </c>
      <c r="M731" s="25">
        <f t="shared" si="114"/>
        <v>0</v>
      </c>
      <c r="N731" s="84" t="str">
        <f t="shared" si="115"/>
        <v>ACTIVE</v>
      </c>
      <c r="O731" s="23">
        <f t="shared" si="116"/>
        <v>1</v>
      </c>
    </row>
    <row r="732" spans="1:15" ht="20" customHeight="1">
      <c r="A732" s="22" t="str">
        <f t="shared" si="108"/>
        <v>True Biweekly</v>
      </c>
      <c r="B732" s="23">
        <f>IF($E732="","",46)</f>
        <v>46</v>
      </c>
      <c r="C732" s="24">
        <f>IF($E732="","",Inputs!$B$9+(45*Inputs!$B$21))</f>
        <v>46922</v>
      </c>
      <c r="D732" s="23">
        <f t="shared" si="109"/>
        <v>14</v>
      </c>
      <c r="E732" s="25">
        <f t="shared" si="110"/>
        <v>16155.55</v>
      </c>
      <c r="F732" s="25">
        <f>IF($E732="","",ROUND(MIN(Comparison!$D$5,MAX(0,$E732+$H732)),2))</f>
        <v>493.81</v>
      </c>
      <c r="G732" s="25">
        <f>IF($E732="","",ROUND(MIN(Inputs!$B$10,MAX(0,$E732+$H732-$F732)),2))</f>
        <v>0</v>
      </c>
      <c r="H732" s="25">
        <f>IF($E732="","",ROUND(IF(Inputs!$B$12="Daily Simple Interest",$E732*Inputs!$B$6/Inputs!$B$17*$D732,$E732*Inputs!$B$6/Inputs!$B$20),2))</f>
        <v>44.93</v>
      </c>
      <c r="I732" s="25">
        <f t="shared" si="111"/>
        <v>448.88</v>
      </c>
      <c r="J732" s="25">
        <f>IF($E732="","",IF($F732+$G732&gt;0,Inputs!$B$11,0))</f>
        <v>0</v>
      </c>
      <c r="K732" s="25">
        <f t="shared" si="112"/>
        <v>15706.67</v>
      </c>
      <c r="L732" s="25">
        <f t="shared" si="113"/>
        <v>493.81</v>
      </c>
      <c r="M732" s="25">
        <f t="shared" si="114"/>
        <v>0</v>
      </c>
      <c r="N732" s="84" t="str">
        <f t="shared" si="115"/>
        <v>ACTIVE</v>
      </c>
      <c r="O732" s="23">
        <f t="shared" si="116"/>
        <v>1</v>
      </c>
    </row>
    <row r="733" spans="1:15" ht="20" customHeight="1">
      <c r="A733" s="22" t="str">
        <f t="shared" si="108"/>
        <v>True Biweekly</v>
      </c>
      <c r="B733" s="23">
        <f>IF($E733="","",47)</f>
        <v>47</v>
      </c>
      <c r="C733" s="24">
        <f>IF($E733="","",Inputs!$B$9+(46*Inputs!$B$21))</f>
        <v>46936</v>
      </c>
      <c r="D733" s="23">
        <f t="shared" si="109"/>
        <v>14</v>
      </c>
      <c r="E733" s="25">
        <f t="shared" si="110"/>
        <v>15706.67</v>
      </c>
      <c r="F733" s="25">
        <f>IF($E733="","",ROUND(MIN(Comparison!$D$5,MAX(0,$E733+$H733)),2))</f>
        <v>493.81</v>
      </c>
      <c r="G733" s="25">
        <f>IF($E733="","",ROUND(MIN(Inputs!$B$10,MAX(0,$E733+$H733-$F733)),2))</f>
        <v>0</v>
      </c>
      <c r="H733" s="25">
        <f>IF($E733="","",ROUND(IF(Inputs!$B$12="Daily Simple Interest",$E733*Inputs!$B$6/Inputs!$B$17*$D733,$E733*Inputs!$B$6/Inputs!$B$20),2))</f>
        <v>43.68</v>
      </c>
      <c r="I733" s="25">
        <f t="shared" si="111"/>
        <v>450.13</v>
      </c>
      <c r="J733" s="25">
        <f>IF($E733="","",IF($F733+$G733&gt;0,Inputs!$B$11,0))</f>
        <v>0</v>
      </c>
      <c r="K733" s="25">
        <f t="shared" si="112"/>
        <v>15256.54</v>
      </c>
      <c r="L733" s="25">
        <f t="shared" si="113"/>
        <v>493.81</v>
      </c>
      <c r="M733" s="25">
        <f t="shared" si="114"/>
        <v>0</v>
      </c>
      <c r="N733" s="84" t="str">
        <f t="shared" si="115"/>
        <v>ACTIVE</v>
      </c>
      <c r="O733" s="23">
        <f t="shared" si="116"/>
        <v>1</v>
      </c>
    </row>
    <row r="734" spans="1:15" ht="20" customHeight="1">
      <c r="A734" s="22" t="str">
        <f t="shared" si="108"/>
        <v>True Biweekly</v>
      </c>
      <c r="B734" s="23">
        <f>IF($E734="","",48)</f>
        <v>48</v>
      </c>
      <c r="C734" s="24">
        <f>IF($E734="","",Inputs!$B$9+(47*Inputs!$B$21))</f>
        <v>46950</v>
      </c>
      <c r="D734" s="23">
        <f t="shared" si="109"/>
        <v>14</v>
      </c>
      <c r="E734" s="25">
        <f t="shared" si="110"/>
        <v>15256.54</v>
      </c>
      <c r="F734" s="25">
        <f>IF($E734="","",ROUND(MIN(Comparison!$D$5,MAX(0,$E734+$H734)),2))</f>
        <v>493.81</v>
      </c>
      <c r="G734" s="25">
        <f>IF($E734="","",ROUND(MIN(Inputs!$B$10,MAX(0,$E734+$H734-$F734)),2))</f>
        <v>0</v>
      </c>
      <c r="H734" s="25">
        <f>IF($E734="","",ROUND(IF(Inputs!$B$12="Daily Simple Interest",$E734*Inputs!$B$6/Inputs!$B$17*$D734,$E734*Inputs!$B$6/Inputs!$B$20),2))</f>
        <v>42.43</v>
      </c>
      <c r="I734" s="25">
        <f t="shared" si="111"/>
        <v>451.38</v>
      </c>
      <c r="J734" s="25">
        <f>IF($E734="","",IF($F734+$G734&gt;0,Inputs!$B$11,0))</f>
        <v>0</v>
      </c>
      <c r="K734" s="25">
        <f t="shared" si="112"/>
        <v>14805.16</v>
      </c>
      <c r="L734" s="25">
        <f t="shared" si="113"/>
        <v>493.81</v>
      </c>
      <c r="M734" s="25">
        <f t="shared" si="114"/>
        <v>0</v>
      </c>
      <c r="N734" s="84" t="str">
        <f t="shared" si="115"/>
        <v>ACTIVE</v>
      </c>
      <c r="O734" s="23">
        <f t="shared" si="116"/>
        <v>1</v>
      </c>
    </row>
    <row r="735" spans="1:15" ht="20" customHeight="1">
      <c r="A735" s="22" t="str">
        <f t="shared" si="108"/>
        <v>True Biweekly</v>
      </c>
      <c r="B735" s="23">
        <f>IF($E735="","",49)</f>
        <v>49</v>
      </c>
      <c r="C735" s="24">
        <f>IF($E735="","",Inputs!$B$9+(48*Inputs!$B$21))</f>
        <v>46964</v>
      </c>
      <c r="D735" s="23">
        <f t="shared" si="109"/>
        <v>14</v>
      </c>
      <c r="E735" s="25">
        <f t="shared" si="110"/>
        <v>14805.16</v>
      </c>
      <c r="F735" s="25">
        <f>IF($E735="","",ROUND(MIN(Comparison!$D$5,MAX(0,$E735+$H735)),2))</f>
        <v>493.81</v>
      </c>
      <c r="G735" s="25">
        <f>IF($E735="","",ROUND(MIN(Inputs!$B$10,MAX(0,$E735+$H735-$F735)),2))</f>
        <v>0</v>
      </c>
      <c r="H735" s="25">
        <f>IF($E735="","",ROUND(IF(Inputs!$B$12="Daily Simple Interest",$E735*Inputs!$B$6/Inputs!$B$17*$D735,$E735*Inputs!$B$6/Inputs!$B$20),2))</f>
        <v>41.17</v>
      </c>
      <c r="I735" s="25">
        <f t="shared" si="111"/>
        <v>452.64</v>
      </c>
      <c r="J735" s="25">
        <f>IF($E735="","",IF($F735+$G735&gt;0,Inputs!$B$11,0))</f>
        <v>0</v>
      </c>
      <c r="K735" s="25">
        <f t="shared" si="112"/>
        <v>14352.52</v>
      </c>
      <c r="L735" s="25">
        <f t="shared" si="113"/>
        <v>493.81</v>
      </c>
      <c r="M735" s="25">
        <f t="shared" si="114"/>
        <v>0</v>
      </c>
      <c r="N735" s="84" t="str">
        <f t="shared" si="115"/>
        <v>ACTIVE</v>
      </c>
      <c r="O735" s="23">
        <f t="shared" si="116"/>
        <v>1</v>
      </c>
    </row>
    <row r="736" spans="1:15" ht="20" customHeight="1">
      <c r="A736" s="22" t="str">
        <f t="shared" si="108"/>
        <v>True Biweekly</v>
      </c>
      <c r="B736" s="23">
        <f>IF($E736="","",50)</f>
        <v>50</v>
      </c>
      <c r="C736" s="24">
        <f>IF($E736="","",Inputs!$B$9+(49*Inputs!$B$21))</f>
        <v>46978</v>
      </c>
      <c r="D736" s="23">
        <f t="shared" si="109"/>
        <v>14</v>
      </c>
      <c r="E736" s="25">
        <f t="shared" si="110"/>
        <v>14352.52</v>
      </c>
      <c r="F736" s="25">
        <f>IF($E736="","",ROUND(MIN(Comparison!$D$5,MAX(0,$E736+$H736)),2))</f>
        <v>493.81</v>
      </c>
      <c r="G736" s="25">
        <f>IF($E736="","",ROUND(MIN(Inputs!$B$10,MAX(0,$E736+$H736-$F736)),2))</f>
        <v>0</v>
      </c>
      <c r="H736" s="25">
        <f>IF($E736="","",ROUND(IF(Inputs!$B$12="Daily Simple Interest",$E736*Inputs!$B$6/Inputs!$B$17*$D736,$E736*Inputs!$B$6/Inputs!$B$20),2))</f>
        <v>39.909999999999997</v>
      </c>
      <c r="I736" s="25">
        <f t="shared" si="111"/>
        <v>453.9</v>
      </c>
      <c r="J736" s="25">
        <f>IF($E736="","",IF($F736+$G736&gt;0,Inputs!$B$11,0))</f>
        <v>0</v>
      </c>
      <c r="K736" s="25">
        <f t="shared" si="112"/>
        <v>13898.62</v>
      </c>
      <c r="L736" s="25">
        <f t="shared" si="113"/>
        <v>493.81</v>
      </c>
      <c r="M736" s="25">
        <f t="shared" si="114"/>
        <v>0</v>
      </c>
      <c r="N736" s="84" t="str">
        <f t="shared" si="115"/>
        <v>ACTIVE</v>
      </c>
      <c r="O736" s="23">
        <f t="shared" si="116"/>
        <v>1</v>
      </c>
    </row>
    <row r="737" spans="1:15" ht="20" customHeight="1">
      <c r="A737" s="22" t="str">
        <f t="shared" si="108"/>
        <v>True Biweekly</v>
      </c>
      <c r="B737" s="23">
        <f>IF($E737="","",51)</f>
        <v>51</v>
      </c>
      <c r="C737" s="24">
        <f>IF($E737="","",Inputs!$B$9+(50*Inputs!$B$21))</f>
        <v>46992</v>
      </c>
      <c r="D737" s="23">
        <f t="shared" si="109"/>
        <v>14</v>
      </c>
      <c r="E737" s="25">
        <f t="shared" si="110"/>
        <v>13898.62</v>
      </c>
      <c r="F737" s="25">
        <f>IF($E737="","",ROUND(MIN(Comparison!$D$5,MAX(0,$E737+$H737)),2))</f>
        <v>493.81</v>
      </c>
      <c r="G737" s="25">
        <f>IF($E737="","",ROUND(MIN(Inputs!$B$10,MAX(0,$E737+$H737-$F737)),2))</f>
        <v>0</v>
      </c>
      <c r="H737" s="25">
        <f>IF($E737="","",ROUND(IF(Inputs!$B$12="Daily Simple Interest",$E737*Inputs!$B$6/Inputs!$B$17*$D737,$E737*Inputs!$B$6/Inputs!$B$20),2))</f>
        <v>38.65</v>
      </c>
      <c r="I737" s="25">
        <f t="shared" si="111"/>
        <v>455.16</v>
      </c>
      <c r="J737" s="25">
        <f>IF($E737="","",IF($F737+$G737&gt;0,Inputs!$B$11,0))</f>
        <v>0</v>
      </c>
      <c r="K737" s="25">
        <f t="shared" si="112"/>
        <v>13443.46</v>
      </c>
      <c r="L737" s="25">
        <f t="shared" si="113"/>
        <v>493.81</v>
      </c>
      <c r="M737" s="25">
        <f t="shared" si="114"/>
        <v>0</v>
      </c>
      <c r="N737" s="84" t="str">
        <f t="shared" si="115"/>
        <v>ACTIVE</v>
      </c>
      <c r="O737" s="23">
        <f t="shared" si="116"/>
        <v>1</v>
      </c>
    </row>
    <row r="738" spans="1:15" ht="20" customHeight="1">
      <c r="A738" s="22" t="str">
        <f t="shared" si="108"/>
        <v>True Biweekly</v>
      </c>
      <c r="B738" s="23">
        <f>IF($E738="","",52)</f>
        <v>52</v>
      </c>
      <c r="C738" s="24">
        <f>IF($E738="","",Inputs!$B$9+(51*Inputs!$B$21))</f>
        <v>47006</v>
      </c>
      <c r="D738" s="23">
        <f t="shared" si="109"/>
        <v>14</v>
      </c>
      <c r="E738" s="25">
        <f t="shared" si="110"/>
        <v>13443.46</v>
      </c>
      <c r="F738" s="25">
        <f>IF($E738="","",ROUND(MIN(Comparison!$D$5,MAX(0,$E738+$H738)),2))</f>
        <v>493.81</v>
      </c>
      <c r="G738" s="25">
        <f>IF($E738="","",ROUND(MIN(Inputs!$B$10,MAX(0,$E738+$H738-$F738)),2))</f>
        <v>0</v>
      </c>
      <c r="H738" s="25">
        <f>IF($E738="","",ROUND(IF(Inputs!$B$12="Daily Simple Interest",$E738*Inputs!$B$6/Inputs!$B$17*$D738,$E738*Inputs!$B$6/Inputs!$B$20),2))</f>
        <v>37.380000000000003</v>
      </c>
      <c r="I738" s="25">
        <f t="shared" si="111"/>
        <v>456.43</v>
      </c>
      <c r="J738" s="25">
        <f>IF($E738="","",IF($F738+$G738&gt;0,Inputs!$B$11,0))</f>
        <v>0</v>
      </c>
      <c r="K738" s="25">
        <f t="shared" si="112"/>
        <v>12987.03</v>
      </c>
      <c r="L738" s="25">
        <f t="shared" si="113"/>
        <v>493.81</v>
      </c>
      <c r="M738" s="25">
        <f t="shared" si="114"/>
        <v>0</v>
      </c>
      <c r="N738" s="84" t="str">
        <f t="shared" si="115"/>
        <v>ACTIVE</v>
      </c>
      <c r="O738" s="23">
        <f t="shared" si="116"/>
        <v>1</v>
      </c>
    </row>
    <row r="739" spans="1:15" ht="20" customHeight="1">
      <c r="A739" s="22" t="str">
        <f t="shared" si="108"/>
        <v>True Biweekly</v>
      </c>
      <c r="B739" s="23">
        <f>IF($E739="","",53)</f>
        <v>53</v>
      </c>
      <c r="C739" s="24">
        <f>IF($E739="","",Inputs!$B$9+(52*Inputs!$B$21))</f>
        <v>47020</v>
      </c>
      <c r="D739" s="23">
        <f t="shared" si="109"/>
        <v>14</v>
      </c>
      <c r="E739" s="25">
        <f t="shared" si="110"/>
        <v>12987.03</v>
      </c>
      <c r="F739" s="25">
        <f>IF($E739="","",ROUND(MIN(Comparison!$D$5,MAX(0,$E739+$H739)),2))</f>
        <v>493.81</v>
      </c>
      <c r="G739" s="25">
        <f>IF($E739="","",ROUND(MIN(Inputs!$B$10,MAX(0,$E739+$H739-$F739)),2))</f>
        <v>0</v>
      </c>
      <c r="H739" s="25">
        <f>IF($E739="","",ROUND(IF(Inputs!$B$12="Daily Simple Interest",$E739*Inputs!$B$6/Inputs!$B$17*$D739,$E739*Inputs!$B$6/Inputs!$B$20),2))</f>
        <v>36.11</v>
      </c>
      <c r="I739" s="25">
        <f t="shared" si="111"/>
        <v>457.7</v>
      </c>
      <c r="J739" s="25">
        <f>IF($E739="","",IF($F739+$G739&gt;0,Inputs!$B$11,0))</f>
        <v>0</v>
      </c>
      <c r="K739" s="25">
        <f t="shared" si="112"/>
        <v>12529.33</v>
      </c>
      <c r="L739" s="25">
        <f t="shared" si="113"/>
        <v>493.81</v>
      </c>
      <c r="M739" s="25">
        <f t="shared" si="114"/>
        <v>0</v>
      </c>
      <c r="N739" s="84" t="str">
        <f t="shared" si="115"/>
        <v>ACTIVE</v>
      </c>
      <c r="O739" s="23">
        <f t="shared" si="116"/>
        <v>1</v>
      </c>
    </row>
    <row r="740" spans="1:15" ht="20" customHeight="1">
      <c r="A740" s="22" t="str">
        <f t="shared" si="108"/>
        <v>True Biweekly</v>
      </c>
      <c r="B740" s="23">
        <f>IF($E740="","",54)</f>
        <v>54</v>
      </c>
      <c r="C740" s="24">
        <f>IF($E740="","",Inputs!$B$9+(53*Inputs!$B$21))</f>
        <v>47034</v>
      </c>
      <c r="D740" s="23">
        <f t="shared" si="109"/>
        <v>14</v>
      </c>
      <c r="E740" s="25">
        <f t="shared" si="110"/>
        <v>12529.33</v>
      </c>
      <c r="F740" s="25">
        <f>IF($E740="","",ROUND(MIN(Comparison!$D$5,MAX(0,$E740+$H740)),2))</f>
        <v>493.81</v>
      </c>
      <c r="G740" s="25">
        <f>IF($E740="","",ROUND(MIN(Inputs!$B$10,MAX(0,$E740+$H740-$F740)),2))</f>
        <v>0</v>
      </c>
      <c r="H740" s="25">
        <f>IF($E740="","",ROUND(IF(Inputs!$B$12="Daily Simple Interest",$E740*Inputs!$B$6/Inputs!$B$17*$D740,$E740*Inputs!$B$6/Inputs!$B$20),2))</f>
        <v>34.840000000000003</v>
      </c>
      <c r="I740" s="25">
        <f t="shared" si="111"/>
        <v>458.97</v>
      </c>
      <c r="J740" s="25">
        <f>IF($E740="","",IF($F740+$G740&gt;0,Inputs!$B$11,0))</f>
        <v>0</v>
      </c>
      <c r="K740" s="25">
        <f t="shared" si="112"/>
        <v>12070.36</v>
      </c>
      <c r="L740" s="25">
        <f t="shared" si="113"/>
        <v>493.81</v>
      </c>
      <c r="M740" s="25">
        <f t="shared" si="114"/>
        <v>0</v>
      </c>
      <c r="N740" s="84" t="str">
        <f t="shared" si="115"/>
        <v>ACTIVE</v>
      </c>
      <c r="O740" s="23">
        <f t="shared" si="116"/>
        <v>1</v>
      </c>
    </row>
    <row r="741" spans="1:15" ht="20" customHeight="1">
      <c r="A741" s="22" t="str">
        <f t="shared" si="108"/>
        <v>True Biweekly</v>
      </c>
      <c r="B741" s="23">
        <f>IF($E741="","",55)</f>
        <v>55</v>
      </c>
      <c r="C741" s="24">
        <f>IF($E741="","",Inputs!$B$9+(54*Inputs!$B$21))</f>
        <v>47048</v>
      </c>
      <c r="D741" s="23">
        <f t="shared" si="109"/>
        <v>14</v>
      </c>
      <c r="E741" s="25">
        <f t="shared" si="110"/>
        <v>12070.36</v>
      </c>
      <c r="F741" s="25">
        <f>IF($E741="","",ROUND(MIN(Comparison!$D$5,MAX(0,$E741+$H741)),2))</f>
        <v>493.81</v>
      </c>
      <c r="G741" s="25">
        <f>IF($E741="","",ROUND(MIN(Inputs!$B$10,MAX(0,$E741+$H741-$F741)),2))</f>
        <v>0</v>
      </c>
      <c r="H741" s="25">
        <f>IF($E741="","",ROUND(IF(Inputs!$B$12="Daily Simple Interest",$E741*Inputs!$B$6/Inputs!$B$17*$D741,$E741*Inputs!$B$6/Inputs!$B$20),2))</f>
        <v>33.57</v>
      </c>
      <c r="I741" s="25">
        <f t="shared" si="111"/>
        <v>460.24</v>
      </c>
      <c r="J741" s="25">
        <f>IF($E741="","",IF($F741+$G741&gt;0,Inputs!$B$11,0))</f>
        <v>0</v>
      </c>
      <c r="K741" s="25">
        <f t="shared" si="112"/>
        <v>11610.12</v>
      </c>
      <c r="L741" s="25">
        <f t="shared" si="113"/>
        <v>493.81</v>
      </c>
      <c r="M741" s="25">
        <f t="shared" si="114"/>
        <v>0</v>
      </c>
      <c r="N741" s="84" t="str">
        <f t="shared" si="115"/>
        <v>ACTIVE</v>
      </c>
      <c r="O741" s="23">
        <f t="shared" si="116"/>
        <v>1</v>
      </c>
    </row>
    <row r="742" spans="1:15" ht="20" customHeight="1">
      <c r="A742" s="22" t="str">
        <f t="shared" si="108"/>
        <v>True Biweekly</v>
      </c>
      <c r="B742" s="23">
        <f>IF($E742="","",56)</f>
        <v>56</v>
      </c>
      <c r="C742" s="24">
        <f>IF($E742="","",Inputs!$B$9+(55*Inputs!$B$21))</f>
        <v>47062</v>
      </c>
      <c r="D742" s="23">
        <f t="shared" si="109"/>
        <v>14</v>
      </c>
      <c r="E742" s="25">
        <f t="shared" si="110"/>
        <v>11610.12</v>
      </c>
      <c r="F742" s="25">
        <f>IF($E742="","",ROUND(MIN(Comparison!$D$5,MAX(0,$E742+$H742)),2))</f>
        <v>493.81</v>
      </c>
      <c r="G742" s="25">
        <f>IF($E742="","",ROUND(MIN(Inputs!$B$10,MAX(0,$E742+$H742-$F742)),2))</f>
        <v>0</v>
      </c>
      <c r="H742" s="25">
        <f>IF($E742="","",ROUND(IF(Inputs!$B$12="Daily Simple Interest",$E742*Inputs!$B$6/Inputs!$B$17*$D742,$E742*Inputs!$B$6/Inputs!$B$20),2))</f>
        <v>32.29</v>
      </c>
      <c r="I742" s="25">
        <f t="shared" si="111"/>
        <v>461.52</v>
      </c>
      <c r="J742" s="25">
        <f>IF($E742="","",IF($F742+$G742&gt;0,Inputs!$B$11,0))</f>
        <v>0</v>
      </c>
      <c r="K742" s="25">
        <f t="shared" si="112"/>
        <v>11148.6</v>
      </c>
      <c r="L742" s="25">
        <f t="shared" si="113"/>
        <v>493.81</v>
      </c>
      <c r="M742" s="25">
        <f t="shared" si="114"/>
        <v>0</v>
      </c>
      <c r="N742" s="84" t="str">
        <f t="shared" si="115"/>
        <v>ACTIVE</v>
      </c>
      <c r="O742" s="23">
        <f t="shared" si="116"/>
        <v>1</v>
      </c>
    </row>
    <row r="743" spans="1:15" ht="20" customHeight="1">
      <c r="A743" s="22" t="str">
        <f t="shared" si="108"/>
        <v>True Biweekly</v>
      </c>
      <c r="B743" s="23">
        <f>IF($E743="","",57)</f>
        <v>57</v>
      </c>
      <c r="C743" s="24">
        <f>IF($E743="","",Inputs!$B$9+(56*Inputs!$B$21))</f>
        <v>47076</v>
      </c>
      <c r="D743" s="23">
        <f t="shared" si="109"/>
        <v>14</v>
      </c>
      <c r="E743" s="25">
        <f t="shared" si="110"/>
        <v>11148.6</v>
      </c>
      <c r="F743" s="25">
        <f>IF($E743="","",ROUND(MIN(Comparison!$D$5,MAX(0,$E743+$H743)),2))</f>
        <v>493.81</v>
      </c>
      <c r="G743" s="25">
        <f>IF($E743="","",ROUND(MIN(Inputs!$B$10,MAX(0,$E743+$H743-$F743)),2))</f>
        <v>0</v>
      </c>
      <c r="H743" s="25">
        <f>IF($E743="","",ROUND(IF(Inputs!$B$12="Daily Simple Interest",$E743*Inputs!$B$6/Inputs!$B$17*$D743,$E743*Inputs!$B$6/Inputs!$B$20),2))</f>
        <v>31</v>
      </c>
      <c r="I743" s="25">
        <f t="shared" si="111"/>
        <v>462.81</v>
      </c>
      <c r="J743" s="25">
        <f>IF($E743="","",IF($F743+$G743&gt;0,Inputs!$B$11,0))</f>
        <v>0</v>
      </c>
      <c r="K743" s="25">
        <f t="shared" si="112"/>
        <v>10685.79</v>
      </c>
      <c r="L743" s="25">
        <f t="shared" si="113"/>
        <v>493.81</v>
      </c>
      <c r="M743" s="25">
        <f t="shared" si="114"/>
        <v>0</v>
      </c>
      <c r="N743" s="84" t="str">
        <f t="shared" si="115"/>
        <v>ACTIVE</v>
      </c>
      <c r="O743" s="23">
        <f t="shared" si="116"/>
        <v>1</v>
      </c>
    </row>
    <row r="744" spans="1:15" ht="20" customHeight="1">
      <c r="A744" s="22" t="str">
        <f t="shared" si="108"/>
        <v>True Biweekly</v>
      </c>
      <c r="B744" s="23">
        <f>IF($E744="","",58)</f>
        <v>58</v>
      </c>
      <c r="C744" s="24">
        <f>IF($E744="","",Inputs!$B$9+(57*Inputs!$B$21))</f>
        <v>47090</v>
      </c>
      <c r="D744" s="23">
        <f t="shared" si="109"/>
        <v>14</v>
      </c>
      <c r="E744" s="25">
        <f t="shared" si="110"/>
        <v>10685.79</v>
      </c>
      <c r="F744" s="25">
        <f>IF($E744="","",ROUND(MIN(Comparison!$D$5,MAX(0,$E744+$H744)),2))</f>
        <v>493.81</v>
      </c>
      <c r="G744" s="25">
        <f>IF($E744="","",ROUND(MIN(Inputs!$B$10,MAX(0,$E744+$H744-$F744)),2))</f>
        <v>0</v>
      </c>
      <c r="H744" s="25">
        <f>IF($E744="","",ROUND(IF(Inputs!$B$12="Daily Simple Interest",$E744*Inputs!$B$6/Inputs!$B$17*$D744,$E744*Inputs!$B$6/Inputs!$B$20),2))</f>
        <v>29.72</v>
      </c>
      <c r="I744" s="25">
        <f t="shared" si="111"/>
        <v>464.09</v>
      </c>
      <c r="J744" s="25">
        <f>IF($E744="","",IF($F744+$G744&gt;0,Inputs!$B$11,0))</f>
        <v>0</v>
      </c>
      <c r="K744" s="25">
        <f t="shared" si="112"/>
        <v>10221.700000000001</v>
      </c>
      <c r="L744" s="25">
        <f t="shared" si="113"/>
        <v>493.81</v>
      </c>
      <c r="M744" s="25">
        <f t="shared" si="114"/>
        <v>0</v>
      </c>
      <c r="N744" s="84" t="str">
        <f t="shared" si="115"/>
        <v>ACTIVE</v>
      </c>
      <c r="O744" s="23">
        <f t="shared" si="116"/>
        <v>1</v>
      </c>
    </row>
    <row r="745" spans="1:15" ht="20" customHeight="1">
      <c r="A745" s="22" t="str">
        <f t="shared" si="108"/>
        <v>True Biweekly</v>
      </c>
      <c r="B745" s="23">
        <f>IF($E745="","",59)</f>
        <v>59</v>
      </c>
      <c r="C745" s="24">
        <f>IF($E745="","",Inputs!$B$9+(58*Inputs!$B$21))</f>
        <v>47104</v>
      </c>
      <c r="D745" s="23">
        <f t="shared" si="109"/>
        <v>14</v>
      </c>
      <c r="E745" s="25">
        <f t="shared" si="110"/>
        <v>10221.700000000001</v>
      </c>
      <c r="F745" s="25">
        <f>IF($E745="","",ROUND(MIN(Comparison!$D$5,MAX(0,$E745+$H745)),2))</f>
        <v>493.81</v>
      </c>
      <c r="G745" s="25">
        <f>IF($E745="","",ROUND(MIN(Inputs!$B$10,MAX(0,$E745+$H745-$F745)),2))</f>
        <v>0</v>
      </c>
      <c r="H745" s="25">
        <f>IF($E745="","",ROUND(IF(Inputs!$B$12="Daily Simple Interest",$E745*Inputs!$B$6/Inputs!$B$17*$D745,$E745*Inputs!$B$6/Inputs!$B$20),2))</f>
        <v>28.42</v>
      </c>
      <c r="I745" s="25">
        <f t="shared" si="111"/>
        <v>465.39</v>
      </c>
      <c r="J745" s="25">
        <f>IF($E745="","",IF($F745+$G745&gt;0,Inputs!$B$11,0))</f>
        <v>0</v>
      </c>
      <c r="K745" s="25">
        <f t="shared" si="112"/>
        <v>9756.31</v>
      </c>
      <c r="L745" s="25">
        <f t="shared" si="113"/>
        <v>493.81</v>
      </c>
      <c r="M745" s="25">
        <f t="shared" si="114"/>
        <v>0</v>
      </c>
      <c r="N745" s="84" t="str">
        <f t="shared" si="115"/>
        <v>ACTIVE</v>
      </c>
      <c r="O745" s="23">
        <f t="shared" si="116"/>
        <v>1</v>
      </c>
    </row>
    <row r="746" spans="1:15" ht="20" customHeight="1">
      <c r="A746" s="22" t="str">
        <f t="shared" si="108"/>
        <v>True Biweekly</v>
      </c>
      <c r="B746" s="23">
        <f>IF($E746="","",60)</f>
        <v>60</v>
      </c>
      <c r="C746" s="24">
        <f>IF($E746="","",Inputs!$B$9+(59*Inputs!$B$21))</f>
        <v>47118</v>
      </c>
      <c r="D746" s="23">
        <f t="shared" si="109"/>
        <v>14</v>
      </c>
      <c r="E746" s="25">
        <f t="shared" si="110"/>
        <v>9756.31</v>
      </c>
      <c r="F746" s="25">
        <f>IF($E746="","",ROUND(MIN(Comparison!$D$5,MAX(0,$E746+$H746)),2))</f>
        <v>493.81</v>
      </c>
      <c r="G746" s="25">
        <f>IF($E746="","",ROUND(MIN(Inputs!$B$10,MAX(0,$E746+$H746-$F746)),2))</f>
        <v>0</v>
      </c>
      <c r="H746" s="25">
        <f>IF($E746="","",ROUND(IF(Inputs!$B$12="Daily Simple Interest",$E746*Inputs!$B$6/Inputs!$B$17*$D746,$E746*Inputs!$B$6/Inputs!$B$20),2))</f>
        <v>27.13</v>
      </c>
      <c r="I746" s="25">
        <f t="shared" si="111"/>
        <v>466.68</v>
      </c>
      <c r="J746" s="25">
        <f>IF($E746="","",IF($F746+$G746&gt;0,Inputs!$B$11,0))</f>
        <v>0</v>
      </c>
      <c r="K746" s="25">
        <f t="shared" si="112"/>
        <v>9289.6299999999992</v>
      </c>
      <c r="L746" s="25">
        <f t="shared" si="113"/>
        <v>493.81</v>
      </c>
      <c r="M746" s="25">
        <f t="shared" si="114"/>
        <v>0</v>
      </c>
      <c r="N746" s="84" t="str">
        <f t="shared" si="115"/>
        <v>ACTIVE</v>
      </c>
      <c r="O746" s="23">
        <f t="shared" si="116"/>
        <v>1</v>
      </c>
    </row>
    <row r="747" spans="1:15" ht="20" customHeight="1">
      <c r="A747" s="22" t="str">
        <f t="shared" si="108"/>
        <v>True Biweekly</v>
      </c>
      <c r="B747" s="23">
        <f>IF($E747="","",61)</f>
        <v>61</v>
      </c>
      <c r="C747" s="24">
        <f>IF($E747="","",Inputs!$B$9+(60*Inputs!$B$21))</f>
        <v>47132</v>
      </c>
      <c r="D747" s="23">
        <f t="shared" si="109"/>
        <v>14</v>
      </c>
      <c r="E747" s="25">
        <f t="shared" si="110"/>
        <v>9289.6299999999992</v>
      </c>
      <c r="F747" s="25">
        <f>IF($E747="","",ROUND(MIN(Comparison!$D$5,MAX(0,$E747+$H747)),2))</f>
        <v>493.81</v>
      </c>
      <c r="G747" s="25">
        <f>IF($E747="","",ROUND(MIN(Inputs!$B$10,MAX(0,$E747+$H747-$F747)),2))</f>
        <v>0</v>
      </c>
      <c r="H747" s="25">
        <f>IF($E747="","",ROUND(IF(Inputs!$B$12="Daily Simple Interest",$E747*Inputs!$B$6/Inputs!$B$17*$D747,$E747*Inputs!$B$6/Inputs!$B$20),2))</f>
        <v>25.83</v>
      </c>
      <c r="I747" s="25">
        <f t="shared" si="111"/>
        <v>467.98</v>
      </c>
      <c r="J747" s="25">
        <f>IF($E747="","",IF($F747+$G747&gt;0,Inputs!$B$11,0))</f>
        <v>0</v>
      </c>
      <c r="K747" s="25">
        <f t="shared" si="112"/>
        <v>8821.65</v>
      </c>
      <c r="L747" s="25">
        <f t="shared" si="113"/>
        <v>493.81</v>
      </c>
      <c r="M747" s="25">
        <f t="shared" si="114"/>
        <v>0</v>
      </c>
      <c r="N747" s="84" t="str">
        <f t="shared" si="115"/>
        <v>ACTIVE</v>
      </c>
      <c r="O747" s="23">
        <f t="shared" si="116"/>
        <v>1</v>
      </c>
    </row>
    <row r="748" spans="1:15" ht="20" customHeight="1">
      <c r="A748" s="22" t="str">
        <f t="shared" si="108"/>
        <v>True Biweekly</v>
      </c>
      <c r="B748" s="23">
        <f>IF($E748="","",62)</f>
        <v>62</v>
      </c>
      <c r="C748" s="24">
        <f>IF($E748="","",Inputs!$B$9+(61*Inputs!$B$21))</f>
        <v>47146</v>
      </c>
      <c r="D748" s="23">
        <f t="shared" si="109"/>
        <v>14</v>
      </c>
      <c r="E748" s="25">
        <f t="shared" si="110"/>
        <v>8821.65</v>
      </c>
      <c r="F748" s="25">
        <f>IF($E748="","",ROUND(MIN(Comparison!$D$5,MAX(0,$E748+$H748)),2))</f>
        <v>493.81</v>
      </c>
      <c r="G748" s="25">
        <f>IF($E748="","",ROUND(MIN(Inputs!$B$10,MAX(0,$E748+$H748-$F748)),2))</f>
        <v>0</v>
      </c>
      <c r="H748" s="25">
        <f>IF($E748="","",ROUND(IF(Inputs!$B$12="Daily Simple Interest",$E748*Inputs!$B$6/Inputs!$B$17*$D748,$E748*Inputs!$B$6/Inputs!$B$20),2))</f>
        <v>24.53</v>
      </c>
      <c r="I748" s="25">
        <f t="shared" si="111"/>
        <v>469.28</v>
      </c>
      <c r="J748" s="25">
        <f>IF($E748="","",IF($F748+$G748&gt;0,Inputs!$B$11,0))</f>
        <v>0</v>
      </c>
      <c r="K748" s="25">
        <f t="shared" si="112"/>
        <v>8352.3700000000008</v>
      </c>
      <c r="L748" s="25">
        <f t="shared" si="113"/>
        <v>493.81</v>
      </c>
      <c r="M748" s="25">
        <f t="shared" si="114"/>
        <v>0</v>
      </c>
      <c r="N748" s="84" t="str">
        <f t="shared" si="115"/>
        <v>ACTIVE</v>
      </c>
      <c r="O748" s="23">
        <f t="shared" si="116"/>
        <v>1</v>
      </c>
    </row>
    <row r="749" spans="1:15" ht="20" customHeight="1">
      <c r="A749" s="22" t="str">
        <f t="shared" si="108"/>
        <v>True Biweekly</v>
      </c>
      <c r="B749" s="23">
        <f>IF($E749="","",63)</f>
        <v>63</v>
      </c>
      <c r="C749" s="24">
        <f>IF($E749="","",Inputs!$B$9+(62*Inputs!$B$21))</f>
        <v>47160</v>
      </c>
      <c r="D749" s="23">
        <f t="shared" si="109"/>
        <v>14</v>
      </c>
      <c r="E749" s="25">
        <f t="shared" si="110"/>
        <v>8352.3700000000008</v>
      </c>
      <c r="F749" s="25">
        <f>IF($E749="","",ROUND(MIN(Comparison!$D$5,MAX(0,$E749+$H749)),2))</f>
        <v>493.81</v>
      </c>
      <c r="G749" s="25">
        <f>IF($E749="","",ROUND(MIN(Inputs!$B$10,MAX(0,$E749+$H749-$F749)),2))</f>
        <v>0</v>
      </c>
      <c r="H749" s="25">
        <f>IF($E749="","",ROUND(IF(Inputs!$B$12="Daily Simple Interest",$E749*Inputs!$B$6/Inputs!$B$17*$D749,$E749*Inputs!$B$6/Inputs!$B$20),2))</f>
        <v>23.23</v>
      </c>
      <c r="I749" s="25">
        <f t="shared" si="111"/>
        <v>470.58</v>
      </c>
      <c r="J749" s="25">
        <f>IF($E749="","",IF($F749+$G749&gt;0,Inputs!$B$11,0))</f>
        <v>0</v>
      </c>
      <c r="K749" s="25">
        <f t="shared" si="112"/>
        <v>7881.79</v>
      </c>
      <c r="L749" s="25">
        <f t="shared" si="113"/>
        <v>493.81</v>
      </c>
      <c r="M749" s="25">
        <f t="shared" si="114"/>
        <v>0</v>
      </c>
      <c r="N749" s="84" t="str">
        <f t="shared" si="115"/>
        <v>ACTIVE</v>
      </c>
      <c r="O749" s="23">
        <f t="shared" si="116"/>
        <v>1</v>
      </c>
    </row>
    <row r="750" spans="1:15" ht="20" customHeight="1">
      <c r="A750" s="22" t="str">
        <f t="shared" si="108"/>
        <v>True Biweekly</v>
      </c>
      <c r="B750" s="23">
        <f>IF($E750="","",64)</f>
        <v>64</v>
      </c>
      <c r="C750" s="24">
        <f>IF($E750="","",Inputs!$B$9+(63*Inputs!$B$21))</f>
        <v>47174</v>
      </c>
      <c r="D750" s="23">
        <f t="shared" si="109"/>
        <v>14</v>
      </c>
      <c r="E750" s="25">
        <f t="shared" si="110"/>
        <v>7881.79</v>
      </c>
      <c r="F750" s="25">
        <f>IF($E750="","",ROUND(MIN(Comparison!$D$5,MAX(0,$E750+$H750)),2))</f>
        <v>493.81</v>
      </c>
      <c r="G750" s="25">
        <f>IF($E750="","",ROUND(MIN(Inputs!$B$10,MAX(0,$E750+$H750-$F750)),2))</f>
        <v>0</v>
      </c>
      <c r="H750" s="25">
        <f>IF($E750="","",ROUND(IF(Inputs!$B$12="Daily Simple Interest",$E750*Inputs!$B$6/Inputs!$B$17*$D750,$E750*Inputs!$B$6/Inputs!$B$20),2))</f>
        <v>21.92</v>
      </c>
      <c r="I750" s="25">
        <f t="shared" si="111"/>
        <v>471.89</v>
      </c>
      <c r="J750" s="25">
        <f>IF($E750="","",IF($F750+$G750&gt;0,Inputs!$B$11,0))</f>
        <v>0</v>
      </c>
      <c r="K750" s="25">
        <f t="shared" si="112"/>
        <v>7409.9</v>
      </c>
      <c r="L750" s="25">
        <f t="shared" si="113"/>
        <v>493.81</v>
      </c>
      <c r="M750" s="25">
        <f t="shared" si="114"/>
        <v>0</v>
      </c>
      <c r="N750" s="84" t="str">
        <f t="shared" si="115"/>
        <v>ACTIVE</v>
      </c>
      <c r="O750" s="23">
        <f t="shared" si="116"/>
        <v>1</v>
      </c>
    </row>
    <row r="751" spans="1:15" ht="20" customHeight="1">
      <c r="A751" s="22" t="str">
        <f t="shared" ref="A751:A814" si="117">IF($E751="","","True Biweekly")</f>
        <v>True Biweekly</v>
      </c>
      <c r="B751" s="23">
        <f>IF($E751="","",65)</f>
        <v>65</v>
      </c>
      <c r="C751" s="24">
        <f>IF($E751="","",Inputs!$B$9+(64*Inputs!$B$21))</f>
        <v>47188</v>
      </c>
      <c r="D751" s="23">
        <f t="shared" si="109"/>
        <v>14</v>
      </c>
      <c r="E751" s="25">
        <f t="shared" si="110"/>
        <v>7409.9</v>
      </c>
      <c r="F751" s="25">
        <f>IF($E751="","",ROUND(MIN(Comparison!$D$5,MAX(0,$E751+$H751)),2))</f>
        <v>493.81</v>
      </c>
      <c r="G751" s="25">
        <f>IF($E751="","",ROUND(MIN(Inputs!$B$10,MAX(0,$E751+$H751-$F751)),2))</f>
        <v>0</v>
      </c>
      <c r="H751" s="25">
        <f>IF($E751="","",ROUND(IF(Inputs!$B$12="Daily Simple Interest",$E751*Inputs!$B$6/Inputs!$B$17*$D751,$E751*Inputs!$B$6/Inputs!$B$20),2))</f>
        <v>20.61</v>
      </c>
      <c r="I751" s="25">
        <f t="shared" si="111"/>
        <v>473.2</v>
      </c>
      <c r="J751" s="25">
        <f>IF($E751="","",IF($F751+$G751&gt;0,Inputs!$B$11,0))</f>
        <v>0</v>
      </c>
      <c r="K751" s="25">
        <f t="shared" si="112"/>
        <v>6936.7</v>
      </c>
      <c r="L751" s="25">
        <f t="shared" si="113"/>
        <v>493.81</v>
      </c>
      <c r="M751" s="25">
        <f t="shared" si="114"/>
        <v>0</v>
      </c>
      <c r="N751" s="84" t="str">
        <f t="shared" si="115"/>
        <v>ACTIVE</v>
      </c>
      <c r="O751" s="23">
        <f t="shared" si="116"/>
        <v>1</v>
      </c>
    </row>
    <row r="752" spans="1:15" ht="20" customHeight="1">
      <c r="A752" s="22" t="str">
        <f t="shared" si="117"/>
        <v>True Biweekly</v>
      </c>
      <c r="B752" s="23">
        <f>IF($E752="","",66)</f>
        <v>66</v>
      </c>
      <c r="C752" s="24">
        <f>IF($E752="","",Inputs!$B$9+(65*Inputs!$B$21))</f>
        <v>47202</v>
      </c>
      <c r="D752" s="23">
        <f t="shared" ref="D752:D815" si="118">IF($E752="","",$C752-$C751)</f>
        <v>14</v>
      </c>
      <c r="E752" s="25">
        <f t="shared" ref="E752:E815" si="119">IF($K751&gt;0.005,$K751,"")</f>
        <v>6936.7</v>
      </c>
      <c r="F752" s="25">
        <f>IF($E752="","",ROUND(MIN(Comparison!$D$5,MAX(0,$E752+$H752)),2))</f>
        <v>493.81</v>
      </c>
      <c r="G752" s="25">
        <f>IF($E752="","",ROUND(MIN(Inputs!$B$10,MAX(0,$E752+$H752-$F752)),2))</f>
        <v>0</v>
      </c>
      <c r="H752" s="25">
        <f>IF($E752="","",ROUND(IF(Inputs!$B$12="Daily Simple Interest",$E752*Inputs!$B$6/Inputs!$B$17*$D752,$E752*Inputs!$B$6/Inputs!$B$20),2))</f>
        <v>19.29</v>
      </c>
      <c r="I752" s="25">
        <f t="shared" si="111"/>
        <v>474.52</v>
      </c>
      <c r="J752" s="25">
        <f>IF($E752="","",IF($F752+$G752&gt;0,Inputs!$B$11,0))</f>
        <v>0</v>
      </c>
      <c r="K752" s="25">
        <f t="shared" si="112"/>
        <v>6462.18</v>
      </c>
      <c r="L752" s="25">
        <f t="shared" si="113"/>
        <v>493.81</v>
      </c>
      <c r="M752" s="25">
        <f t="shared" si="114"/>
        <v>0</v>
      </c>
      <c r="N752" s="84" t="str">
        <f t="shared" si="115"/>
        <v>ACTIVE</v>
      </c>
      <c r="O752" s="23">
        <f t="shared" si="116"/>
        <v>1</v>
      </c>
    </row>
    <row r="753" spans="1:15" ht="20" customHeight="1">
      <c r="A753" s="22" t="str">
        <f t="shared" si="117"/>
        <v>True Biweekly</v>
      </c>
      <c r="B753" s="23">
        <f>IF($E753="","",67)</f>
        <v>67</v>
      </c>
      <c r="C753" s="24">
        <f>IF($E753="","",Inputs!$B$9+(66*Inputs!$B$21))</f>
        <v>47216</v>
      </c>
      <c r="D753" s="23">
        <f t="shared" si="118"/>
        <v>14</v>
      </c>
      <c r="E753" s="25">
        <f t="shared" si="119"/>
        <v>6462.18</v>
      </c>
      <c r="F753" s="25">
        <f>IF($E753="","",ROUND(MIN(Comparison!$D$5,MAX(0,$E753+$H753)),2))</f>
        <v>493.81</v>
      </c>
      <c r="G753" s="25">
        <f>IF($E753="","",ROUND(MIN(Inputs!$B$10,MAX(0,$E753+$H753-$F753)),2))</f>
        <v>0</v>
      </c>
      <c r="H753" s="25">
        <f>IF($E753="","",ROUND(IF(Inputs!$B$12="Daily Simple Interest",$E753*Inputs!$B$6/Inputs!$B$17*$D753,$E753*Inputs!$B$6/Inputs!$B$20),2))</f>
        <v>17.97</v>
      </c>
      <c r="I753" s="25">
        <f t="shared" si="111"/>
        <v>475.84</v>
      </c>
      <c r="J753" s="25">
        <f>IF($E753="","",IF($F753+$G753&gt;0,Inputs!$B$11,0))</f>
        <v>0</v>
      </c>
      <c r="K753" s="25">
        <f t="shared" si="112"/>
        <v>5986.34</v>
      </c>
      <c r="L753" s="25">
        <f t="shared" si="113"/>
        <v>493.81</v>
      </c>
      <c r="M753" s="25">
        <f t="shared" si="114"/>
        <v>0</v>
      </c>
      <c r="N753" s="84" t="str">
        <f t="shared" si="115"/>
        <v>ACTIVE</v>
      </c>
      <c r="O753" s="23">
        <f t="shared" si="116"/>
        <v>1</v>
      </c>
    </row>
    <row r="754" spans="1:15" ht="20" customHeight="1">
      <c r="A754" s="22" t="str">
        <f t="shared" si="117"/>
        <v>True Biweekly</v>
      </c>
      <c r="B754" s="23">
        <f>IF($E754="","",68)</f>
        <v>68</v>
      </c>
      <c r="C754" s="24">
        <f>IF($E754="","",Inputs!$B$9+(67*Inputs!$B$21))</f>
        <v>47230</v>
      </c>
      <c r="D754" s="23">
        <f t="shared" si="118"/>
        <v>14</v>
      </c>
      <c r="E754" s="25">
        <f t="shared" si="119"/>
        <v>5986.34</v>
      </c>
      <c r="F754" s="25">
        <f>IF($E754="","",ROUND(MIN(Comparison!$D$5,MAX(0,$E754+$H754)),2))</f>
        <v>493.81</v>
      </c>
      <c r="G754" s="25">
        <f>IF($E754="","",ROUND(MIN(Inputs!$B$10,MAX(0,$E754+$H754-$F754)),2))</f>
        <v>0</v>
      </c>
      <c r="H754" s="25">
        <f>IF($E754="","",ROUND(IF(Inputs!$B$12="Daily Simple Interest",$E754*Inputs!$B$6/Inputs!$B$17*$D754,$E754*Inputs!$B$6/Inputs!$B$20),2))</f>
        <v>16.649999999999999</v>
      </c>
      <c r="I754" s="25">
        <f t="shared" si="111"/>
        <v>477.16</v>
      </c>
      <c r="J754" s="25">
        <f>IF($E754="","",IF($F754+$G754&gt;0,Inputs!$B$11,0))</f>
        <v>0</v>
      </c>
      <c r="K754" s="25">
        <f t="shared" si="112"/>
        <v>5509.18</v>
      </c>
      <c r="L754" s="25">
        <f t="shared" si="113"/>
        <v>493.81</v>
      </c>
      <c r="M754" s="25">
        <f t="shared" si="114"/>
        <v>0</v>
      </c>
      <c r="N754" s="84" t="str">
        <f t="shared" si="115"/>
        <v>ACTIVE</v>
      </c>
      <c r="O754" s="23">
        <f t="shared" si="116"/>
        <v>1</v>
      </c>
    </row>
    <row r="755" spans="1:15" ht="20" customHeight="1">
      <c r="A755" s="22" t="str">
        <f t="shared" si="117"/>
        <v>True Biweekly</v>
      </c>
      <c r="B755" s="23">
        <f>IF($E755="","",69)</f>
        <v>69</v>
      </c>
      <c r="C755" s="24">
        <f>IF($E755="","",Inputs!$B$9+(68*Inputs!$B$21))</f>
        <v>47244</v>
      </c>
      <c r="D755" s="23">
        <f t="shared" si="118"/>
        <v>14</v>
      </c>
      <c r="E755" s="25">
        <f t="shared" si="119"/>
        <v>5509.18</v>
      </c>
      <c r="F755" s="25">
        <f>IF($E755="","",ROUND(MIN(Comparison!$D$5,MAX(0,$E755+$H755)),2))</f>
        <v>493.81</v>
      </c>
      <c r="G755" s="25">
        <f>IF($E755="","",ROUND(MIN(Inputs!$B$10,MAX(0,$E755+$H755-$F755)),2))</f>
        <v>0</v>
      </c>
      <c r="H755" s="25">
        <f>IF($E755="","",ROUND(IF(Inputs!$B$12="Daily Simple Interest",$E755*Inputs!$B$6/Inputs!$B$17*$D755,$E755*Inputs!$B$6/Inputs!$B$20),2))</f>
        <v>15.32</v>
      </c>
      <c r="I755" s="25">
        <f t="shared" si="111"/>
        <v>478.49</v>
      </c>
      <c r="J755" s="25">
        <f>IF($E755="","",IF($F755+$G755&gt;0,Inputs!$B$11,0))</f>
        <v>0</v>
      </c>
      <c r="K755" s="25">
        <f t="shared" si="112"/>
        <v>5030.6899999999996</v>
      </c>
      <c r="L755" s="25">
        <f t="shared" si="113"/>
        <v>493.81</v>
      </c>
      <c r="M755" s="25">
        <f t="shared" si="114"/>
        <v>0</v>
      </c>
      <c r="N755" s="84" t="str">
        <f t="shared" si="115"/>
        <v>ACTIVE</v>
      </c>
      <c r="O755" s="23">
        <f t="shared" si="116"/>
        <v>1</v>
      </c>
    </row>
    <row r="756" spans="1:15" ht="20" customHeight="1">
      <c r="A756" s="22" t="str">
        <f t="shared" si="117"/>
        <v>True Biweekly</v>
      </c>
      <c r="B756" s="23">
        <f>IF($E756="","",70)</f>
        <v>70</v>
      </c>
      <c r="C756" s="24">
        <f>IF($E756="","",Inputs!$B$9+(69*Inputs!$B$21))</f>
        <v>47258</v>
      </c>
      <c r="D756" s="23">
        <f t="shared" si="118"/>
        <v>14</v>
      </c>
      <c r="E756" s="25">
        <f t="shared" si="119"/>
        <v>5030.6899999999996</v>
      </c>
      <c r="F756" s="25">
        <f>IF($E756="","",ROUND(MIN(Comparison!$D$5,MAX(0,$E756+$H756)),2))</f>
        <v>493.81</v>
      </c>
      <c r="G756" s="25">
        <f>IF($E756="","",ROUND(MIN(Inputs!$B$10,MAX(0,$E756+$H756-$F756)),2))</f>
        <v>0</v>
      </c>
      <c r="H756" s="25">
        <f>IF($E756="","",ROUND(IF(Inputs!$B$12="Daily Simple Interest",$E756*Inputs!$B$6/Inputs!$B$17*$D756,$E756*Inputs!$B$6/Inputs!$B$20),2))</f>
        <v>13.99</v>
      </c>
      <c r="I756" s="25">
        <f t="shared" si="111"/>
        <v>479.82</v>
      </c>
      <c r="J756" s="25">
        <f>IF($E756="","",IF($F756+$G756&gt;0,Inputs!$B$11,0))</f>
        <v>0</v>
      </c>
      <c r="K756" s="25">
        <f t="shared" si="112"/>
        <v>4550.87</v>
      </c>
      <c r="L756" s="25">
        <f t="shared" si="113"/>
        <v>493.81</v>
      </c>
      <c r="M756" s="25">
        <f t="shared" si="114"/>
        <v>0</v>
      </c>
      <c r="N756" s="84" t="str">
        <f t="shared" si="115"/>
        <v>ACTIVE</v>
      </c>
      <c r="O756" s="23">
        <f t="shared" si="116"/>
        <v>1</v>
      </c>
    </row>
    <row r="757" spans="1:15" ht="20" customHeight="1">
      <c r="A757" s="22" t="str">
        <f t="shared" si="117"/>
        <v>True Biweekly</v>
      </c>
      <c r="B757" s="23">
        <f>IF($E757="","",71)</f>
        <v>71</v>
      </c>
      <c r="C757" s="24">
        <f>IF($E757="","",Inputs!$B$9+(70*Inputs!$B$21))</f>
        <v>47272</v>
      </c>
      <c r="D757" s="23">
        <f t="shared" si="118"/>
        <v>14</v>
      </c>
      <c r="E757" s="25">
        <f t="shared" si="119"/>
        <v>4550.87</v>
      </c>
      <c r="F757" s="25">
        <f>IF($E757="","",ROUND(MIN(Comparison!$D$5,MAX(0,$E757+$H757)),2))</f>
        <v>493.81</v>
      </c>
      <c r="G757" s="25">
        <f>IF($E757="","",ROUND(MIN(Inputs!$B$10,MAX(0,$E757+$H757-$F757)),2))</f>
        <v>0</v>
      </c>
      <c r="H757" s="25">
        <f>IF($E757="","",ROUND(IF(Inputs!$B$12="Daily Simple Interest",$E757*Inputs!$B$6/Inputs!$B$17*$D757,$E757*Inputs!$B$6/Inputs!$B$20),2))</f>
        <v>12.66</v>
      </c>
      <c r="I757" s="25">
        <f t="shared" si="111"/>
        <v>481.15</v>
      </c>
      <c r="J757" s="25">
        <f>IF($E757="","",IF($F757+$G757&gt;0,Inputs!$B$11,0))</f>
        <v>0</v>
      </c>
      <c r="K757" s="25">
        <f t="shared" si="112"/>
        <v>4069.72</v>
      </c>
      <c r="L757" s="25">
        <f t="shared" si="113"/>
        <v>493.81</v>
      </c>
      <c r="M757" s="25">
        <f t="shared" si="114"/>
        <v>0</v>
      </c>
      <c r="N757" s="84" t="str">
        <f t="shared" si="115"/>
        <v>ACTIVE</v>
      </c>
      <c r="O757" s="23">
        <f t="shared" si="116"/>
        <v>1</v>
      </c>
    </row>
    <row r="758" spans="1:15" ht="20" customHeight="1">
      <c r="A758" s="22" t="str">
        <f t="shared" si="117"/>
        <v>True Biweekly</v>
      </c>
      <c r="B758" s="23">
        <f>IF($E758="","",72)</f>
        <v>72</v>
      </c>
      <c r="C758" s="24">
        <f>IF($E758="","",Inputs!$B$9+(71*Inputs!$B$21))</f>
        <v>47286</v>
      </c>
      <c r="D758" s="23">
        <f t="shared" si="118"/>
        <v>14</v>
      </c>
      <c r="E758" s="25">
        <f t="shared" si="119"/>
        <v>4069.72</v>
      </c>
      <c r="F758" s="25">
        <f>IF($E758="","",ROUND(MIN(Comparison!$D$5,MAX(0,$E758+$H758)),2))</f>
        <v>493.81</v>
      </c>
      <c r="G758" s="25">
        <f>IF($E758="","",ROUND(MIN(Inputs!$B$10,MAX(0,$E758+$H758-$F758)),2))</f>
        <v>0</v>
      </c>
      <c r="H758" s="25">
        <f>IF($E758="","",ROUND(IF(Inputs!$B$12="Daily Simple Interest",$E758*Inputs!$B$6/Inputs!$B$17*$D758,$E758*Inputs!$B$6/Inputs!$B$20),2))</f>
        <v>11.32</v>
      </c>
      <c r="I758" s="25">
        <f t="shared" si="111"/>
        <v>482.49</v>
      </c>
      <c r="J758" s="25">
        <f>IF($E758="","",IF($F758+$G758&gt;0,Inputs!$B$11,0))</f>
        <v>0</v>
      </c>
      <c r="K758" s="25">
        <f t="shared" si="112"/>
        <v>3587.23</v>
      </c>
      <c r="L758" s="25">
        <f t="shared" si="113"/>
        <v>493.81</v>
      </c>
      <c r="M758" s="25">
        <f t="shared" si="114"/>
        <v>0</v>
      </c>
      <c r="N758" s="84" t="str">
        <f t="shared" si="115"/>
        <v>ACTIVE</v>
      </c>
      <c r="O758" s="23">
        <f t="shared" si="116"/>
        <v>1</v>
      </c>
    </row>
    <row r="759" spans="1:15" ht="20" customHeight="1">
      <c r="A759" s="22" t="str">
        <f t="shared" si="117"/>
        <v>True Biweekly</v>
      </c>
      <c r="B759" s="23">
        <f>IF($E759="","",73)</f>
        <v>73</v>
      </c>
      <c r="C759" s="24">
        <f>IF($E759="","",Inputs!$B$9+(72*Inputs!$B$21))</f>
        <v>47300</v>
      </c>
      <c r="D759" s="23">
        <f t="shared" si="118"/>
        <v>14</v>
      </c>
      <c r="E759" s="25">
        <f t="shared" si="119"/>
        <v>3587.23</v>
      </c>
      <c r="F759" s="25">
        <f>IF($E759="","",ROUND(MIN(Comparison!$D$5,MAX(0,$E759+$H759)),2))</f>
        <v>493.81</v>
      </c>
      <c r="G759" s="25">
        <f>IF($E759="","",ROUND(MIN(Inputs!$B$10,MAX(0,$E759+$H759-$F759)),2))</f>
        <v>0</v>
      </c>
      <c r="H759" s="25">
        <f>IF($E759="","",ROUND(IF(Inputs!$B$12="Daily Simple Interest",$E759*Inputs!$B$6/Inputs!$B$17*$D759,$E759*Inputs!$B$6/Inputs!$B$20),2))</f>
        <v>9.98</v>
      </c>
      <c r="I759" s="25">
        <f t="shared" si="111"/>
        <v>483.83</v>
      </c>
      <c r="J759" s="25">
        <f>IF($E759="","",IF($F759+$G759&gt;0,Inputs!$B$11,0))</f>
        <v>0</v>
      </c>
      <c r="K759" s="25">
        <f t="shared" si="112"/>
        <v>3103.4</v>
      </c>
      <c r="L759" s="25">
        <f t="shared" si="113"/>
        <v>493.81</v>
      </c>
      <c r="M759" s="25">
        <f t="shared" si="114"/>
        <v>0</v>
      </c>
      <c r="N759" s="84" t="str">
        <f t="shared" si="115"/>
        <v>ACTIVE</v>
      </c>
      <c r="O759" s="23">
        <f t="shared" si="116"/>
        <v>1</v>
      </c>
    </row>
    <row r="760" spans="1:15" ht="20" customHeight="1">
      <c r="A760" s="22" t="str">
        <f t="shared" si="117"/>
        <v>True Biweekly</v>
      </c>
      <c r="B760" s="23">
        <f>IF($E760="","",74)</f>
        <v>74</v>
      </c>
      <c r="C760" s="24">
        <f>IF($E760="","",Inputs!$B$9+(73*Inputs!$B$21))</f>
        <v>47314</v>
      </c>
      <c r="D760" s="23">
        <f t="shared" si="118"/>
        <v>14</v>
      </c>
      <c r="E760" s="25">
        <f t="shared" si="119"/>
        <v>3103.4</v>
      </c>
      <c r="F760" s="25">
        <f>IF($E760="","",ROUND(MIN(Comparison!$D$5,MAX(0,$E760+$H760)),2))</f>
        <v>493.81</v>
      </c>
      <c r="G760" s="25">
        <f>IF($E760="","",ROUND(MIN(Inputs!$B$10,MAX(0,$E760+$H760-$F760)),2))</f>
        <v>0</v>
      </c>
      <c r="H760" s="25">
        <f>IF($E760="","",ROUND(IF(Inputs!$B$12="Daily Simple Interest",$E760*Inputs!$B$6/Inputs!$B$17*$D760,$E760*Inputs!$B$6/Inputs!$B$20),2))</f>
        <v>8.6300000000000008</v>
      </c>
      <c r="I760" s="25">
        <f t="shared" si="111"/>
        <v>485.18</v>
      </c>
      <c r="J760" s="25">
        <f>IF($E760="","",IF($F760+$G760&gt;0,Inputs!$B$11,0))</f>
        <v>0</v>
      </c>
      <c r="K760" s="25">
        <f t="shared" si="112"/>
        <v>2618.2199999999998</v>
      </c>
      <c r="L760" s="25">
        <f t="shared" si="113"/>
        <v>493.81</v>
      </c>
      <c r="M760" s="25">
        <f t="shared" si="114"/>
        <v>0</v>
      </c>
      <c r="N760" s="84" t="str">
        <f t="shared" si="115"/>
        <v>ACTIVE</v>
      </c>
      <c r="O760" s="23">
        <f t="shared" si="116"/>
        <v>1</v>
      </c>
    </row>
    <row r="761" spans="1:15" ht="20" customHeight="1">
      <c r="A761" s="22" t="str">
        <f t="shared" si="117"/>
        <v>True Biweekly</v>
      </c>
      <c r="B761" s="23">
        <f>IF($E761="","",75)</f>
        <v>75</v>
      </c>
      <c r="C761" s="24">
        <f>IF($E761="","",Inputs!$B$9+(74*Inputs!$B$21))</f>
        <v>47328</v>
      </c>
      <c r="D761" s="23">
        <f t="shared" si="118"/>
        <v>14</v>
      </c>
      <c r="E761" s="25">
        <f t="shared" si="119"/>
        <v>2618.2199999999998</v>
      </c>
      <c r="F761" s="25">
        <f>IF($E761="","",ROUND(MIN(Comparison!$D$5,MAX(0,$E761+$H761)),2))</f>
        <v>493.81</v>
      </c>
      <c r="G761" s="25">
        <f>IF($E761="","",ROUND(MIN(Inputs!$B$10,MAX(0,$E761+$H761-$F761)),2))</f>
        <v>0</v>
      </c>
      <c r="H761" s="25">
        <f>IF($E761="","",ROUND(IF(Inputs!$B$12="Daily Simple Interest",$E761*Inputs!$B$6/Inputs!$B$17*$D761,$E761*Inputs!$B$6/Inputs!$B$20),2))</f>
        <v>7.28</v>
      </c>
      <c r="I761" s="25">
        <f t="shared" si="111"/>
        <v>486.53</v>
      </c>
      <c r="J761" s="25">
        <f>IF($E761="","",IF($F761+$G761&gt;0,Inputs!$B$11,0))</f>
        <v>0</v>
      </c>
      <c r="K761" s="25">
        <f t="shared" si="112"/>
        <v>2131.69</v>
      </c>
      <c r="L761" s="25">
        <f t="shared" si="113"/>
        <v>493.81</v>
      </c>
      <c r="M761" s="25">
        <f t="shared" si="114"/>
        <v>0</v>
      </c>
      <c r="N761" s="84" t="str">
        <f t="shared" si="115"/>
        <v>ACTIVE</v>
      </c>
      <c r="O761" s="23">
        <f t="shared" si="116"/>
        <v>1</v>
      </c>
    </row>
    <row r="762" spans="1:15" ht="20" customHeight="1">
      <c r="A762" s="22" t="str">
        <f t="shared" si="117"/>
        <v>True Biweekly</v>
      </c>
      <c r="B762" s="23">
        <f>IF($E762="","",76)</f>
        <v>76</v>
      </c>
      <c r="C762" s="24">
        <f>IF($E762="","",Inputs!$B$9+(75*Inputs!$B$21))</f>
        <v>47342</v>
      </c>
      <c r="D762" s="23">
        <f t="shared" si="118"/>
        <v>14</v>
      </c>
      <c r="E762" s="25">
        <f t="shared" si="119"/>
        <v>2131.69</v>
      </c>
      <c r="F762" s="25">
        <f>IF($E762="","",ROUND(MIN(Comparison!$D$5,MAX(0,$E762+$H762)),2))</f>
        <v>493.81</v>
      </c>
      <c r="G762" s="25">
        <f>IF($E762="","",ROUND(MIN(Inputs!$B$10,MAX(0,$E762+$H762-$F762)),2))</f>
        <v>0</v>
      </c>
      <c r="H762" s="25">
        <f>IF($E762="","",ROUND(IF(Inputs!$B$12="Daily Simple Interest",$E762*Inputs!$B$6/Inputs!$B$17*$D762,$E762*Inputs!$B$6/Inputs!$B$20),2))</f>
        <v>5.93</v>
      </c>
      <c r="I762" s="25">
        <f t="shared" si="111"/>
        <v>487.88</v>
      </c>
      <c r="J762" s="25">
        <f>IF($E762="","",IF($F762+$G762&gt;0,Inputs!$B$11,0))</f>
        <v>0</v>
      </c>
      <c r="K762" s="25">
        <f t="shared" si="112"/>
        <v>1643.81</v>
      </c>
      <c r="L762" s="25">
        <f t="shared" si="113"/>
        <v>493.81</v>
      </c>
      <c r="M762" s="25">
        <f t="shared" si="114"/>
        <v>0</v>
      </c>
      <c r="N762" s="84" t="str">
        <f t="shared" si="115"/>
        <v>ACTIVE</v>
      </c>
      <c r="O762" s="23">
        <f t="shared" si="116"/>
        <v>1</v>
      </c>
    </row>
    <row r="763" spans="1:15" ht="20" customHeight="1">
      <c r="A763" s="22" t="str">
        <f t="shared" si="117"/>
        <v>True Biweekly</v>
      </c>
      <c r="B763" s="23">
        <f>IF($E763="","",77)</f>
        <v>77</v>
      </c>
      <c r="C763" s="24">
        <f>IF($E763="","",Inputs!$B$9+(76*Inputs!$B$21))</f>
        <v>47356</v>
      </c>
      <c r="D763" s="23">
        <f t="shared" si="118"/>
        <v>14</v>
      </c>
      <c r="E763" s="25">
        <f t="shared" si="119"/>
        <v>1643.81</v>
      </c>
      <c r="F763" s="25">
        <f>IF($E763="","",ROUND(MIN(Comparison!$D$5,MAX(0,$E763+$H763)),2))</f>
        <v>493.81</v>
      </c>
      <c r="G763" s="25">
        <f>IF($E763="","",ROUND(MIN(Inputs!$B$10,MAX(0,$E763+$H763-$F763)),2))</f>
        <v>0</v>
      </c>
      <c r="H763" s="25">
        <f>IF($E763="","",ROUND(IF(Inputs!$B$12="Daily Simple Interest",$E763*Inputs!$B$6/Inputs!$B$17*$D763,$E763*Inputs!$B$6/Inputs!$B$20),2))</f>
        <v>4.57</v>
      </c>
      <c r="I763" s="25">
        <f t="shared" si="111"/>
        <v>489.24</v>
      </c>
      <c r="J763" s="25">
        <f>IF($E763="","",IF($F763+$G763&gt;0,Inputs!$B$11,0))</f>
        <v>0</v>
      </c>
      <c r="K763" s="25">
        <f t="shared" si="112"/>
        <v>1154.57</v>
      </c>
      <c r="L763" s="25">
        <f t="shared" si="113"/>
        <v>493.81</v>
      </c>
      <c r="M763" s="25">
        <f t="shared" si="114"/>
        <v>0</v>
      </c>
      <c r="N763" s="84" t="str">
        <f t="shared" si="115"/>
        <v>ACTIVE</v>
      </c>
      <c r="O763" s="23">
        <f t="shared" si="116"/>
        <v>1</v>
      </c>
    </row>
    <row r="764" spans="1:15" ht="20" customHeight="1">
      <c r="A764" s="22" t="str">
        <f t="shared" si="117"/>
        <v>True Biweekly</v>
      </c>
      <c r="B764" s="23">
        <f>IF($E764="","",78)</f>
        <v>78</v>
      </c>
      <c r="C764" s="24">
        <f>IF($E764="","",Inputs!$B$9+(77*Inputs!$B$21))</f>
        <v>47370</v>
      </c>
      <c r="D764" s="23">
        <f t="shared" si="118"/>
        <v>14</v>
      </c>
      <c r="E764" s="25">
        <f t="shared" si="119"/>
        <v>1154.57</v>
      </c>
      <c r="F764" s="25">
        <f>IF($E764="","",ROUND(MIN(Comparison!$D$5,MAX(0,$E764+$H764)),2))</f>
        <v>493.81</v>
      </c>
      <c r="G764" s="25">
        <f>IF($E764="","",ROUND(MIN(Inputs!$B$10,MAX(0,$E764+$H764-$F764)),2))</f>
        <v>0</v>
      </c>
      <c r="H764" s="25">
        <f>IF($E764="","",ROUND(IF(Inputs!$B$12="Daily Simple Interest",$E764*Inputs!$B$6/Inputs!$B$17*$D764,$E764*Inputs!$B$6/Inputs!$B$20),2))</f>
        <v>3.21</v>
      </c>
      <c r="I764" s="25">
        <f t="shared" si="111"/>
        <v>490.6</v>
      </c>
      <c r="J764" s="25">
        <f>IF($E764="","",IF($F764+$G764&gt;0,Inputs!$B$11,0))</f>
        <v>0</v>
      </c>
      <c r="K764" s="25">
        <f t="shared" si="112"/>
        <v>663.97</v>
      </c>
      <c r="L764" s="25">
        <f t="shared" si="113"/>
        <v>493.81</v>
      </c>
      <c r="M764" s="25">
        <f t="shared" si="114"/>
        <v>0</v>
      </c>
      <c r="N764" s="84" t="str">
        <f t="shared" si="115"/>
        <v>ACTIVE</v>
      </c>
      <c r="O764" s="23">
        <f t="shared" si="116"/>
        <v>1</v>
      </c>
    </row>
    <row r="765" spans="1:15" ht="20" customHeight="1">
      <c r="A765" s="22" t="str">
        <f t="shared" si="117"/>
        <v>True Biweekly</v>
      </c>
      <c r="B765" s="23">
        <f>IF($E765="","",79)</f>
        <v>79</v>
      </c>
      <c r="C765" s="24">
        <f>IF($E765="","",Inputs!$B$9+(78*Inputs!$B$21))</f>
        <v>47384</v>
      </c>
      <c r="D765" s="23">
        <f t="shared" si="118"/>
        <v>14</v>
      </c>
      <c r="E765" s="25">
        <f t="shared" si="119"/>
        <v>663.97</v>
      </c>
      <c r="F765" s="25">
        <f>IF($E765="","",ROUND(MIN(Comparison!$D$5,MAX(0,$E765+$H765)),2))</f>
        <v>493.81</v>
      </c>
      <c r="G765" s="25">
        <f>IF($E765="","",ROUND(MIN(Inputs!$B$10,MAX(0,$E765+$H765-$F765)),2))</f>
        <v>0</v>
      </c>
      <c r="H765" s="25">
        <f>IF($E765="","",ROUND(IF(Inputs!$B$12="Daily Simple Interest",$E765*Inputs!$B$6/Inputs!$B$17*$D765,$E765*Inputs!$B$6/Inputs!$B$20),2))</f>
        <v>1.85</v>
      </c>
      <c r="I765" s="25">
        <f t="shared" si="111"/>
        <v>491.96</v>
      </c>
      <c r="J765" s="25">
        <f>IF($E765="","",IF($F765+$G765&gt;0,Inputs!$B$11,0))</f>
        <v>0</v>
      </c>
      <c r="K765" s="25">
        <f t="shared" si="112"/>
        <v>172.01</v>
      </c>
      <c r="L765" s="25">
        <f t="shared" si="113"/>
        <v>493.81</v>
      </c>
      <c r="M765" s="25">
        <f t="shared" si="114"/>
        <v>0</v>
      </c>
      <c r="N765" s="84" t="str">
        <f t="shared" si="115"/>
        <v>ACTIVE</v>
      </c>
      <c r="O765" s="23">
        <f t="shared" si="116"/>
        <v>1</v>
      </c>
    </row>
    <row r="766" spans="1:15" ht="20" customHeight="1">
      <c r="A766" s="22" t="str">
        <f t="shared" si="117"/>
        <v>True Biweekly</v>
      </c>
      <c r="B766" s="23">
        <f>IF($E766="","",80)</f>
        <v>80</v>
      </c>
      <c r="C766" s="24">
        <f>IF($E766="","",Inputs!$B$9+(79*Inputs!$B$21))</f>
        <v>47398</v>
      </c>
      <c r="D766" s="23">
        <f t="shared" si="118"/>
        <v>14</v>
      </c>
      <c r="E766" s="25">
        <f t="shared" si="119"/>
        <v>172.01</v>
      </c>
      <c r="F766" s="25">
        <f>IF($E766="","",ROUND(MIN(Comparison!$D$5,MAX(0,$E766+$H766)),2))</f>
        <v>172.49</v>
      </c>
      <c r="G766" s="25">
        <f>IF($E766="","",ROUND(MIN(Inputs!$B$10,MAX(0,$E766+$H766-$F766)),2))</f>
        <v>0</v>
      </c>
      <c r="H766" s="25">
        <f>IF($E766="","",ROUND(IF(Inputs!$B$12="Daily Simple Interest",$E766*Inputs!$B$6/Inputs!$B$17*$D766,$E766*Inputs!$B$6/Inputs!$B$20),2))</f>
        <v>0.48</v>
      </c>
      <c r="I766" s="25">
        <f t="shared" si="111"/>
        <v>172.01</v>
      </c>
      <c r="J766" s="25">
        <f>IF($E766="","",IF($F766+$G766&gt;0,Inputs!$B$11,0))</f>
        <v>0</v>
      </c>
      <c r="K766" s="25">
        <f t="shared" si="112"/>
        <v>0</v>
      </c>
      <c r="L766" s="25">
        <f t="shared" si="113"/>
        <v>172.49</v>
      </c>
      <c r="M766" s="25">
        <f t="shared" si="114"/>
        <v>0</v>
      </c>
      <c r="N766" s="84" t="str">
        <f t="shared" si="115"/>
        <v>PAID OFF</v>
      </c>
      <c r="O766" s="23">
        <f t="shared" si="116"/>
        <v>1</v>
      </c>
    </row>
    <row r="767" spans="1:15" ht="20" customHeight="1">
      <c r="A767" s="22" t="str">
        <f t="shared" si="117"/>
        <v/>
      </c>
      <c r="B767" s="23" t="str">
        <f>IF($E767="","",81)</f>
        <v/>
      </c>
      <c r="C767" s="24" t="str">
        <f>IF($E767="","",Inputs!$B$9+(80*Inputs!$B$21))</f>
        <v/>
      </c>
      <c r="D767" s="23" t="str">
        <f t="shared" si="118"/>
        <v/>
      </c>
      <c r="E767" s="25" t="str">
        <f t="shared" si="119"/>
        <v/>
      </c>
      <c r="F767" s="25" t="str">
        <f>IF($E767="","",ROUND(MIN(Comparison!$D$5,MAX(0,$E767+$H767)),2))</f>
        <v/>
      </c>
      <c r="G767" s="25" t="str">
        <f>IF($E767="","",ROUND(MIN(Inputs!$B$10,MAX(0,$E767+$H767-$F767)),2))</f>
        <v/>
      </c>
      <c r="H767" s="25" t="str">
        <f>IF($E767="","",ROUND(IF(Inputs!$B$12="Daily Simple Interest",$E767*Inputs!$B$6/Inputs!$B$17*$D767,$E767*Inputs!$B$6/Inputs!$B$20),2))</f>
        <v/>
      </c>
      <c r="I767" s="25" t="str">
        <f t="shared" si="111"/>
        <v/>
      </c>
      <c r="J767" s="25" t="str">
        <f>IF($E767="","",IF($F767+$G767&gt;0,Inputs!$B$11,0))</f>
        <v/>
      </c>
      <c r="K767" s="25" t="str">
        <f t="shared" si="112"/>
        <v/>
      </c>
      <c r="L767" s="25" t="str">
        <f t="shared" si="113"/>
        <v/>
      </c>
      <c r="M767" s="25" t="str">
        <f t="shared" si="114"/>
        <v/>
      </c>
      <c r="N767" s="84" t="str">
        <f t="shared" si="115"/>
        <v/>
      </c>
      <c r="O767" s="23" t="str">
        <f t="shared" si="116"/>
        <v/>
      </c>
    </row>
    <row r="768" spans="1:15" ht="20" customHeight="1">
      <c r="A768" s="22" t="str">
        <f t="shared" si="117"/>
        <v/>
      </c>
      <c r="B768" s="23" t="str">
        <f>IF($E768="","",82)</f>
        <v/>
      </c>
      <c r="C768" s="24" t="str">
        <f>IF($E768="","",Inputs!$B$9+(81*Inputs!$B$21))</f>
        <v/>
      </c>
      <c r="D768" s="23" t="str">
        <f t="shared" si="118"/>
        <v/>
      </c>
      <c r="E768" s="25" t="str">
        <f t="shared" si="119"/>
        <v/>
      </c>
      <c r="F768" s="25" t="str">
        <f>IF($E768="","",ROUND(MIN(Comparison!$D$5,MAX(0,$E768+$H768)),2))</f>
        <v/>
      </c>
      <c r="G768" s="25" t="str">
        <f>IF($E768="","",ROUND(MIN(Inputs!$B$10,MAX(0,$E768+$H768-$F768)),2))</f>
        <v/>
      </c>
      <c r="H768" s="25" t="str">
        <f>IF($E768="","",ROUND(IF(Inputs!$B$12="Daily Simple Interest",$E768*Inputs!$B$6/Inputs!$B$17*$D768,$E768*Inputs!$B$6/Inputs!$B$20),2))</f>
        <v/>
      </c>
      <c r="I768" s="25" t="str">
        <f t="shared" si="111"/>
        <v/>
      </c>
      <c r="J768" s="25" t="str">
        <f>IF($E768="","",IF($F768+$G768&gt;0,Inputs!$B$11,0))</f>
        <v/>
      </c>
      <c r="K768" s="25" t="str">
        <f t="shared" si="112"/>
        <v/>
      </c>
      <c r="L768" s="25" t="str">
        <f t="shared" si="113"/>
        <v/>
      </c>
      <c r="M768" s="25" t="str">
        <f t="shared" si="114"/>
        <v/>
      </c>
      <c r="N768" s="84" t="str">
        <f t="shared" si="115"/>
        <v/>
      </c>
      <c r="O768" s="23" t="str">
        <f t="shared" si="116"/>
        <v/>
      </c>
    </row>
    <row r="769" spans="1:15" ht="20" customHeight="1">
      <c r="A769" s="22" t="str">
        <f t="shared" si="117"/>
        <v/>
      </c>
      <c r="B769" s="23" t="str">
        <f>IF($E769="","",83)</f>
        <v/>
      </c>
      <c r="C769" s="24" t="str">
        <f>IF($E769="","",Inputs!$B$9+(82*Inputs!$B$21))</f>
        <v/>
      </c>
      <c r="D769" s="23" t="str">
        <f t="shared" si="118"/>
        <v/>
      </c>
      <c r="E769" s="25" t="str">
        <f t="shared" si="119"/>
        <v/>
      </c>
      <c r="F769" s="25" t="str">
        <f>IF($E769="","",ROUND(MIN(Comparison!$D$5,MAX(0,$E769+$H769)),2))</f>
        <v/>
      </c>
      <c r="G769" s="25" t="str">
        <f>IF($E769="","",ROUND(MIN(Inputs!$B$10,MAX(0,$E769+$H769-$F769)),2))</f>
        <v/>
      </c>
      <c r="H769" s="25" t="str">
        <f>IF($E769="","",ROUND(IF(Inputs!$B$12="Daily Simple Interest",$E769*Inputs!$B$6/Inputs!$B$17*$D769,$E769*Inputs!$B$6/Inputs!$B$20),2))</f>
        <v/>
      </c>
      <c r="I769" s="25" t="str">
        <f t="shared" si="111"/>
        <v/>
      </c>
      <c r="J769" s="25" t="str">
        <f>IF($E769="","",IF($F769+$G769&gt;0,Inputs!$B$11,0))</f>
        <v/>
      </c>
      <c r="K769" s="25" t="str">
        <f t="shared" si="112"/>
        <v/>
      </c>
      <c r="L769" s="25" t="str">
        <f t="shared" si="113"/>
        <v/>
      </c>
      <c r="M769" s="25" t="str">
        <f t="shared" si="114"/>
        <v/>
      </c>
      <c r="N769" s="84" t="str">
        <f t="shared" si="115"/>
        <v/>
      </c>
      <c r="O769" s="23" t="str">
        <f t="shared" si="116"/>
        <v/>
      </c>
    </row>
    <row r="770" spans="1:15" ht="20" customHeight="1">
      <c r="A770" s="22" t="str">
        <f t="shared" si="117"/>
        <v/>
      </c>
      <c r="B770" s="23" t="str">
        <f>IF($E770="","",84)</f>
        <v/>
      </c>
      <c r="C770" s="24" t="str">
        <f>IF($E770="","",Inputs!$B$9+(83*Inputs!$B$21))</f>
        <v/>
      </c>
      <c r="D770" s="23" t="str">
        <f t="shared" si="118"/>
        <v/>
      </c>
      <c r="E770" s="25" t="str">
        <f t="shared" si="119"/>
        <v/>
      </c>
      <c r="F770" s="25" t="str">
        <f>IF($E770="","",ROUND(MIN(Comparison!$D$5,MAX(0,$E770+$H770)),2))</f>
        <v/>
      </c>
      <c r="G770" s="25" t="str">
        <f>IF($E770="","",ROUND(MIN(Inputs!$B$10,MAX(0,$E770+$H770-$F770)),2))</f>
        <v/>
      </c>
      <c r="H770" s="25" t="str">
        <f>IF($E770="","",ROUND(IF(Inputs!$B$12="Daily Simple Interest",$E770*Inputs!$B$6/Inputs!$B$17*$D770,$E770*Inputs!$B$6/Inputs!$B$20),2))</f>
        <v/>
      </c>
      <c r="I770" s="25" t="str">
        <f t="shared" si="111"/>
        <v/>
      </c>
      <c r="J770" s="25" t="str">
        <f>IF($E770="","",IF($F770+$G770&gt;0,Inputs!$B$11,0))</f>
        <v/>
      </c>
      <c r="K770" s="25" t="str">
        <f t="shared" si="112"/>
        <v/>
      </c>
      <c r="L770" s="25" t="str">
        <f t="shared" si="113"/>
        <v/>
      </c>
      <c r="M770" s="25" t="str">
        <f t="shared" si="114"/>
        <v/>
      </c>
      <c r="N770" s="84" t="str">
        <f t="shared" si="115"/>
        <v/>
      </c>
      <c r="O770" s="23" t="str">
        <f t="shared" si="116"/>
        <v/>
      </c>
    </row>
    <row r="771" spans="1:15" ht="20" customHeight="1">
      <c r="A771" s="22" t="str">
        <f t="shared" si="117"/>
        <v/>
      </c>
      <c r="B771" s="23" t="str">
        <f>IF($E771="","",85)</f>
        <v/>
      </c>
      <c r="C771" s="24" t="str">
        <f>IF($E771="","",Inputs!$B$9+(84*Inputs!$B$21))</f>
        <v/>
      </c>
      <c r="D771" s="23" t="str">
        <f t="shared" si="118"/>
        <v/>
      </c>
      <c r="E771" s="25" t="str">
        <f t="shared" si="119"/>
        <v/>
      </c>
      <c r="F771" s="25" t="str">
        <f>IF($E771="","",ROUND(MIN(Comparison!$D$5,MAX(0,$E771+$H771)),2))</f>
        <v/>
      </c>
      <c r="G771" s="25" t="str">
        <f>IF($E771="","",ROUND(MIN(Inputs!$B$10,MAX(0,$E771+$H771-$F771)),2))</f>
        <v/>
      </c>
      <c r="H771" s="25" t="str">
        <f>IF($E771="","",ROUND(IF(Inputs!$B$12="Daily Simple Interest",$E771*Inputs!$B$6/Inputs!$B$17*$D771,$E771*Inputs!$B$6/Inputs!$B$20),2))</f>
        <v/>
      </c>
      <c r="I771" s="25" t="str">
        <f t="shared" si="111"/>
        <v/>
      </c>
      <c r="J771" s="25" t="str">
        <f>IF($E771="","",IF($F771+$G771&gt;0,Inputs!$B$11,0))</f>
        <v/>
      </c>
      <c r="K771" s="25" t="str">
        <f t="shared" si="112"/>
        <v/>
      </c>
      <c r="L771" s="25" t="str">
        <f t="shared" si="113"/>
        <v/>
      </c>
      <c r="M771" s="25" t="str">
        <f t="shared" si="114"/>
        <v/>
      </c>
      <c r="N771" s="84" t="str">
        <f t="shared" si="115"/>
        <v/>
      </c>
      <c r="O771" s="23" t="str">
        <f t="shared" si="116"/>
        <v/>
      </c>
    </row>
    <row r="772" spans="1:15" ht="20" customHeight="1">
      <c r="A772" s="22" t="str">
        <f t="shared" si="117"/>
        <v/>
      </c>
      <c r="B772" s="23" t="str">
        <f>IF($E772="","",86)</f>
        <v/>
      </c>
      <c r="C772" s="24" t="str">
        <f>IF($E772="","",Inputs!$B$9+(85*Inputs!$B$21))</f>
        <v/>
      </c>
      <c r="D772" s="23" t="str">
        <f t="shared" si="118"/>
        <v/>
      </c>
      <c r="E772" s="25" t="str">
        <f t="shared" si="119"/>
        <v/>
      </c>
      <c r="F772" s="25" t="str">
        <f>IF($E772="","",ROUND(MIN(Comparison!$D$5,MAX(0,$E772+$H772)),2))</f>
        <v/>
      </c>
      <c r="G772" s="25" t="str">
        <f>IF($E772="","",ROUND(MIN(Inputs!$B$10,MAX(0,$E772+$H772-$F772)),2))</f>
        <v/>
      </c>
      <c r="H772" s="25" t="str">
        <f>IF($E772="","",ROUND(IF(Inputs!$B$12="Daily Simple Interest",$E772*Inputs!$B$6/Inputs!$B$17*$D772,$E772*Inputs!$B$6/Inputs!$B$20),2))</f>
        <v/>
      </c>
      <c r="I772" s="25" t="str">
        <f t="shared" si="111"/>
        <v/>
      </c>
      <c r="J772" s="25" t="str">
        <f>IF($E772="","",IF($F772+$G772&gt;0,Inputs!$B$11,0))</f>
        <v/>
      </c>
      <c r="K772" s="25" t="str">
        <f t="shared" si="112"/>
        <v/>
      </c>
      <c r="L772" s="25" t="str">
        <f t="shared" si="113"/>
        <v/>
      </c>
      <c r="M772" s="25" t="str">
        <f t="shared" si="114"/>
        <v/>
      </c>
      <c r="N772" s="84" t="str">
        <f t="shared" si="115"/>
        <v/>
      </c>
      <c r="O772" s="23" t="str">
        <f t="shared" si="116"/>
        <v/>
      </c>
    </row>
    <row r="773" spans="1:15" ht="20" customHeight="1">
      <c r="A773" s="22" t="str">
        <f t="shared" si="117"/>
        <v/>
      </c>
      <c r="B773" s="23" t="str">
        <f>IF($E773="","",87)</f>
        <v/>
      </c>
      <c r="C773" s="24" t="str">
        <f>IF($E773="","",Inputs!$B$9+(86*Inputs!$B$21))</f>
        <v/>
      </c>
      <c r="D773" s="23" t="str">
        <f t="shared" si="118"/>
        <v/>
      </c>
      <c r="E773" s="25" t="str">
        <f t="shared" si="119"/>
        <v/>
      </c>
      <c r="F773" s="25" t="str">
        <f>IF($E773="","",ROUND(MIN(Comparison!$D$5,MAX(0,$E773+$H773)),2))</f>
        <v/>
      </c>
      <c r="G773" s="25" t="str">
        <f>IF($E773="","",ROUND(MIN(Inputs!$B$10,MAX(0,$E773+$H773-$F773)),2))</f>
        <v/>
      </c>
      <c r="H773" s="25" t="str">
        <f>IF($E773="","",ROUND(IF(Inputs!$B$12="Daily Simple Interest",$E773*Inputs!$B$6/Inputs!$B$17*$D773,$E773*Inputs!$B$6/Inputs!$B$20),2))</f>
        <v/>
      </c>
      <c r="I773" s="25" t="str">
        <f t="shared" si="111"/>
        <v/>
      </c>
      <c r="J773" s="25" t="str">
        <f>IF($E773="","",IF($F773+$G773&gt;0,Inputs!$B$11,0))</f>
        <v/>
      </c>
      <c r="K773" s="25" t="str">
        <f t="shared" si="112"/>
        <v/>
      </c>
      <c r="L773" s="25" t="str">
        <f t="shared" si="113"/>
        <v/>
      </c>
      <c r="M773" s="25" t="str">
        <f t="shared" si="114"/>
        <v/>
      </c>
      <c r="N773" s="84" t="str">
        <f t="shared" si="115"/>
        <v/>
      </c>
      <c r="O773" s="23" t="str">
        <f t="shared" si="116"/>
        <v/>
      </c>
    </row>
    <row r="774" spans="1:15" ht="20" customHeight="1">
      <c r="A774" s="22" t="str">
        <f t="shared" si="117"/>
        <v/>
      </c>
      <c r="B774" s="23" t="str">
        <f>IF($E774="","",88)</f>
        <v/>
      </c>
      <c r="C774" s="24" t="str">
        <f>IF($E774="","",Inputs!$B$9+(87*Inputs!$B$21))</f>
        <v/>
      </c>
      <c r="D774" s="23" t="str">
        <f t="shared" si="118"/>
        <v/>
      </c>
      <c r="E774" s="25" t="str">
        <f t="shared" si="119"/>
        <v/>
      </c>
      <c r="F774" s="25" t="str">
        <f>IF($E774="","",ROUND(MIN(Comparison!$D$5,MAX(0,$E774+$H774)),2))</f>
        <v/>
      </c>
      <c r="G774" s="25" t="str">
        <f>IF($E774="","",ROUND(MIN(Inputs!$B$10,MAX(0,$E774+$H774-$F774)),2))</f>
        <v/>
      </c>
      <c r="H774" s="25" t="str">
        <f>IF($E774="","",ROUND(IF(Inputs!$B$12="Daily Simple Interest",$E774*Inputs!$B$6/Inputs!$B$17*$D774,$E774*Inputs!$B$6/Inputs!$B$20),2))</f>
        <v/>
      </c>
      <c r="I774" s="25" t="str">
        <f t="shared" si="111"/>
        <v/>
      </c>
      <c r="J774" s="25" t="str">
        <f>IF($E774="","",IF($F774+$G774&gt;0,Inputs!$B$11,0))</f>
        <v/>
      </c>
      <c r="K774" s="25" t="str">
        <f t="shared" si="112"/>
        <v/>
      </c>
      <c r="L774" s="25" t="str">
        <f t="shared" si="113"/>
        <v/>
      </c>
      <c r="M774" s="25" t="str">
        <f t="shared" si="114"/>
        <v/>
      </c>
      <c r="N774" s="84" t="str">
        <f t="shared" si="115"/>
        <v/>
      </c>
      <c r="O774" s="23" t="str">
        <f t="shared" si="116"/>
        <v/>
      </c>
    </row>
    <row r="775" spans="1:15" ht="20" customHeight="1">
      <c r="A775" s="22" t="str">
        <f t="shared" si="117"/>
        <v/>
      </c>
      <c r="B775" s="23" t="str">
        <f>IF($E775="","",89)</f>
        <v/>
      </c>
      <c r="C775" s="24" t="str">
        <f>IF($E775="","",Inputs!$B$9+(88*Inputs!$B$21))</f>
        <v/>
      </c>
      <c r="D775" s="23" t="str">
        <f t="shared" si="118"/>
        <v/>
      </c>
      <c r="E775" s="25" t="str">
        <f t="shared" si="119"/>
        <v/>
      </c>
      <c r="F775" s="25" t="str">
        <f>IF($E775="","",ROUND(MIN(Comparison!$D$5,MAX(0,$E775+$H775)),2))</f>
        <v/>
      </c>
      <c r="G775" s="25" t="str">
        <f>IF($E775="","",ROUND(MIN(Inputs!$B$10,MAX(0,$E775+$H775-$F775)),2))</f>
        <v/>
      </c>
      <c r="H775" s="25" t="str">
        <f>IF($E775="","",ROUND(IF(Inputs!$B$12="Daily Simple Interest",$E775*Inputs!$B$6/Inputs!$B$17*$D775,$E775*Inputs!$B$6/Inputs!$B$20),2))</f>
        <v/>
      </c>
      <c r="I775" s="25" t="str">
        <f t="shared" ref="I775:I838" si="120">IF($E775="","",ROUND($F775+$G775-$H775,2))</f>
        <v/>
      </c>
      <c r="J775" s="25" t="str">
        <f>IF($E775="","",IF($F775+$G775&gt;0,Inputs!$B$11,0))</f>
        <v/>
      </c>
      <c r="K775" s="25" t="str">
        <f t="shared" ref="K775:K838" si="121">IF($E775="","",ROUND(MAX(0,$E775-$I775),2))</f>
        <v/>
      </c>
      <c r="L775" s="25" t="str">
        <f t="shared" ref="L775:L838" si="122">IF($E775="","",$F775+$G775)</f>
        <v/>
      </c>
      <c r="M775" s="25" t="str">
        <f t="shared" ref="M775:M838" si="123">IF($E775="","",0)</f>
        <v/>
      </c>
      <c r="N775" s="84" t="str">
        <f t="shared" ref="N775:N838" si="124">IF($E775="","",IF($K775&lt;=0.005,"PAID OFF","ACTIVE"))</f>
        <v/>
      </c>
      <c r="O775" s="23" t="str">
        <f t="shared" ref="O775:O838" si="125">IF($E775="","",IF($F775+$G775&gt;0,1,0))</f>
        <v/>
      </c>
    </row>
    <row r="776" spans="1:15" ht="20" customHeight="1">
      <c r="A776" s="22" t="str">
        <f t="shared" si="117"/>
        <v/>
      </c>
      <c r="B776" s="23" t="str">
        <f>IF($E776="","",90)</f>
        <v/>
      </c>
      <c r="C776" s="24" t="str">
        <f>IF($E776="","",Inputs!$B$9+(89*Inputs!$B$21))</f>
        <v/>
      </c>
      <c r="D776" s="23" t="str">
        <f t="shared" si="118"/>
        <v/>
      </c>
      <c r="E776" s="25" t="str">
        <f t="shared" si="119"/>
        <v/>
      </c>
      <c r="F776" s="25" t="str">
        <f>IF($E776="","",ROUND(MIN(Comparison!$D$5,MAX(0,$E776+$H776)),2))</f>
        <v/>
      </c>
      <c r="G776" s="25" t="str">
        <f>IF($E776="","",ROUND(MIN(Inputs!$B$10,MAX(0,$E776+$H776-$F776)),2))</f>
        <v/>
      </c>
      <c r="H776" s="25" t="str">
        <f>IF($E776="","",ROUND(IF(Inputs!$B$12="Daily Simple Interest",$E776*Inputs!$B$6/Inputs!$B$17*$D776,$E776*Inputs!$B$6/Inputs!$B$20),2))</f>
        <v/>
      </c>
      <c r="I776" s="25" t="str">
        <f t="shared" si="120"/>
        <v/>
      </c>
      <c r="J776" s="25" t="str">
        <f>IF($E776="","",IF($F776+$G776&gt;0,Inputs!$B$11,0))</f>
        <v/>
      </c>
      <c r="K776" s="25" t="str">
        <f t="shared" si="121"/>
        <v/>
      </c>
      <c r="L776" s="25" t="str">
        <f t="shared" si="122"/>
        <v/>
      </c>
      <c r="M776" s="25" t="str">
        <f t="shared" si="123"/>
        <v/>
      </c>
      <c r="N776" s="84" t="str">
        <f t="shared" si="124"/>
        <v/>
      </c>
      <c r="O776" s="23" t="str">
        <f t="shared" si="125"/>
        <v/>
      </c>
    </row>
    <row r="777" spans="1:15" ht="20" customHeight="1">
      <c r="A777" s="22" t="str">
        <f t="shared" si="117"/>
        <v/>
      </c>
      <c r="B777" s="23" t="str">
        <f>IF($E777="","",91)</f>
        <v/>
      </c>
      <c r="C777" s="24" t="str">
        <f>IF($E777="","",Inputs!$B$9+(90*Inputs!$B$21))</f>
        <v/>
      </c>
      <c r="D777" s="23" t="str">
        <f t="shared" si="118"/>
        <v/>
      </c>
      <c r="E777" s="25" t="str">
        <f t="shared" si="119"/>
        <v/>
      </c>
      <c r="F777" s="25" t="str">
        <f>IF($E777="","",ROUND(MIN(Comparison!$D$5,MAX(0,$E777+$H777)),2))</f>
        <v/>
      </c>
      <c r="G777" s="25" t="str">
        <f>IF($E777="","",ROUND(MIN(Inputs!$B$10,MAX(0,$E777+$H777-$F777)),2))</f>
        <v/>
      </c>
      <c r="H777" s="25" t="str">
        <f>IF($E777="","",ROUND(IF(Inputs!$B$12="Daily Simple Interest",$E777*Inputs!$B$6/Inputs!$B$17*$D777,$E777*Inputs!$B$6/Inputs!$B$20),2))</f>
        <v/>
      </c>
      <c r="I777" s="25" t="str">
        <f t="shared" si="120"/>
        <v/>
      </c>
      <c r="J777" s="25" t="str">
        <f>IF($E777="","",IF($F777+$G777&gt;0,Inputs!$B$11,0))</f>
        <v/>
      </c>
      <c r="K777" s="25" t="str">
        <f t="shared" si="121"/>
        <v/>
      </c>
      <c r="L777" s="25" t="str">
        <f t="shared" si="122"/>
        <v/>
      </c>
      <c r="M777" s="25" t="str">
        <f t="shared" si="123"/>
        <v/>
      </c>
      <c r="N777" s="84" t="str">
        <f t="shared" si="124"/>
        <v/>
      </c>
      <c r="O777" s="23" t="str">
        <f t="shared" si="125"/>
        <v/>
      </c>
    </row>
    <row r="778" spans="1:15" ht="20" customHeight="1">
      <c r="A778" s="22" t="str">
        <f t="shared" si="117"/>
        <v/>
      </c>
      <c r="B778" s="23" t="str">
        <f>IF($E778="","",92)</f>
        <v/>
      </c>
      <c r="C778" s="24" t="str">
        <f>IF($E778="","",Inputs!$B$9+(91*Inputs!$B$21))</f>
        <v/>
      </c>
      <c r="D778" s="23" t="str">
        <f t="shared" si="118"/>
        <v/>
      </c>
      <c r="E778" s="25" t="str">
        <f t="shared" si="119"/>
        <v/>
      </c>
      <c r="F778" s="25" t="str">
        <f>IF($E778="","",ROUND(MIN(Comparison!$D$5,MAX(0,$E778+$H778)),2))</f>
        <v/>
      </c>
      <c r="G778" s="25" t="str">
        <f>IF($E778="","",ROUND(MIN(Inputs!$B$10,MAX(0,$E778+$H778-$F778)),2))</f>
        <v/>
      </c>
      <c r="H778" s="25" t="str">
        <f>IF($E778="","",ROUND(IF(Inputs!$B$12="Daily Simple Interest",$E778*Inputs!$B$6/Inputs!$B$17*$D778,$E778*Inputs!$B$6/Inputs!$B$20),2))</f>
        <v/>
      </c>
      <c r="I778" s="25" t="str">
        <f t="shared" si="120"/>
        <v/>
      </c>
      <c r="J778" s="25" t="str">
        <f>IF($E778="","",IF($F778+$G778&gt;0,Inputs!$B$11,0))</f>
        <v/>
      </c>
      <c r="K778" s="25" t="str">
        <f t="shared" si="121"/>
        <v/>
      </c>
      <c r="L778" s="25" t="str">
        <f t="shared" si="122"/>
        <v/>
      </c>
      <c r="M778" s="25" t="str">
        <f t="shared" si="123"/>
        <v/>
      </c>
      <c r="N778" s="84" t="str">
        <f t="shared" si="124"/>
        <v/>
      </c>
      <c r="O778" s="23" t="str">
        <f t="shared" si="125"/>
        <v/>
      </c>
    </row>
    <row r="779" spans="1:15" ht="20" customHeight="1">
      <c r="A779" s="22" t="str">
        <f t="shared" si="117"/>
        <v/>
      </c>
      <c r="B779" s="23" t="str">
        <f>IF($E779="","",93)</f>
        <v/>
      </c>
      <c r="C779" s="24" t="str">
        <f>IF($E779="","",Inputs!$B$9+(92*Inputs!$B$21))</f>
        <v/>
      </c>
      <c r="D779" s="23" t="str">
        <f t="shared" si="118"/>
        <v/>
      </c>
      <c r="E779" s="25" t="str">
        <f t="shared" si="119"/>
        <v/>
      </c>
      <c r="F779" s="25" t="str">
        <f>IF($E779="","",ROUND(MIN(Comparison!$D$5,MAX(0,$E779+$H779)),2))</f>
        <v/>
      </c>
      <c r="G779" s="25" t="str">
        <f>IF($E779="","",ROUND(MIN(Inputs!$B$10,MAX(0,$E779+$H779-$F779)),2))</f>
        <v/>
      </c>
      <c r="H779" s="25" t="str">
        <f>IF($E779="","",ROUND(IF(Inputs!$B$12="Daily Simple Interest",$E779*Inputs!$B$6/Inputs!$B$17*$D779,$E779*Inputs!$B$6/Inputs!$B$20),2))</f>
        <v/>
      </c>
      <c r="I779" s="25" t="str">
        <f t="shared" si="120"/>
        <v/>
      </c>
      <c r="J779" s="25" t="str">
        <f>IF($E779="","",IF($F779+$G779&gt;0,Inputs!$B$11,0))</f>
        <v/>
      </c>
      <c r="K779" s="25" t="str">
        <f t="shared" si="121"/>
        <v/>
      </c>
      <c r="L779" s="25" t="str">
        <f t="shared" si="122"/>
        <v/>
      </c>
      <c r="M779" s="25" t="str">
        <f t="shared" si="123"/>
        <v/>
      </c>
      <c r="N779" s="84" t="str">
        <f t="shared" si="124"/>
        <v/>
      </c>
      <c r="O779" s="23" t="str">
        <f t="shared" si="125"/>
        <v/>
      </c>
    </row>
    <row r="780" spans="1:15" ht="20" customHeight="1">
      <c r="A780" s="22" t="str">
        <f t="shared" si="117"/>
        <v/>
      </c>
      <c r="B780" s="23" t="str">
        <f>IF($E780="","",94)</f>
        <v/>
      </c>
      <c r="C780" s="24" t="str">
        <f>IF($E780="","",Inputs!$B$9+(93*Inputs!$B$21))</f>
        <v/>
      </c>
      <c r="D780" s="23" t="str">
        <f t="shared" si="118"/>
        <v/>
      </c>
      <c r="E780" s="25" t="str">
        <f t="shared" si="119"/>
        <v/>
      </c>
      <c r="F780" s="25" t="str">
        <f>IF($E780="","",ROUND(MIN(Comparison!$D$5,MAX(0,$E780+$H780)),2))</f>
        <v/>
      </c>
      <c r="G780" s="25" t="str">
        <f>IF($E780="","",ROUND(MIN(Inputs!$B$10,MAX(0,$E780+$H780-$F780)),2))</f>
        <v/>
      </c>
      <c r="H780" s="25" t="str">
        <f>IF($E780="","",ROUND(IF(Inputs!$B$12="Daily Simple Interest",$E780*Inputs!$B$6/Inputs!$B$17*$D780,$E780*Inputs!$B$6/Inputs!$B$20),2))</f>
        <v/>
      </c>
      <c r="I780" s="25" t="str">
        <f t="shared" si="120"/>
        <v/>
      </c>
      <c r="J780" s="25" t="str">
        <f>IF($E780="","",IF($F780+$G780&gt;0,Inputs!$B$11,0))</f>
        <v/>
      </c>
      <c r="K780" s="25" t="str">
        <f t="shared" si="121"/>
        <v/>
      </c>
      <c r="L780" s="25" t="str">
        <f t="shared" si="122"/>
        <v/>
      </c>
      <c r="M780" s="25" t="str">
        <f t="shared" si="123"/>
        <v/>
      </c>
      <c r="N780" s="84" t="str">
        <f t="shared" si="124"/>
        <v/>
      </c>
      <c r="O780" s="23" t="str">
        <f t="shared" si="125"/>
        <v/>
      </c>
    </row>
    <row r="781" spans="1:15" ht="20" customHeight="1">
      <c r="A781" s="22" t="str">
        <f t="shared" si="117"/>
        <v/>
      </c>
      <c r="B781" s="23" t="str">
        <f>IF($E781="","",95)</f>
        <v/>
      </c>
      <c r="C781" s="24" t="str">
        <f>IF($E781="","",Inputs!$B$9+(94*Inputs!$B$21))</f>
        <v/>
      </c>
      <c r="D781" s="23" t="str">
        <f t="shared" si="118"/>
        <v/>
      </c>
      <c r="E781" s="25" t="str">
        <f t="shared" si="119"/>
        <v/>
      </c>
      <c r="F781" s="25" t="str">
        <f>IF($E781="","",ROUND(MIN(Comparison!$D$5,MAX(0,$E781+$H781)),2))</f>
        <v/>
      </c>
      <c r="G781" s="25" t="str">
        <f>IF($E781="","",ROUND(MIN(Inputs!$B$10,MAX(0,$E781+$H781-$F781)),2))</f>
        <v/>
      </c>
      <c r="H781" s="25" t="str">
        <f>IF($E781="","",ROUND(IF(Inputs!$B$12="Daily Simple Interest",$E781*Inputs!$B$6/Inputs!$B$17*$D781,$E781*Inputs!$B$6/Inputs!$B$20),2))</f>
        <v/>
      </c>
      <c r="I781" s="25" t="str">
        <f t="shared" si="120"/>
        <v/>
      </c>
      <c r="J781" s="25" t="str">
        <f>IF($E781="","",IF($F781+$G781&gt;0,Inputs!$B$11,0))</f>
        <v/>
      </c>
      <c r="K781" s="25" t="str">
        <f t="shared" si="121"/>
        <v/>
      </c>
      <c r="L781" s="25" t="str">
        <f t="shared" si="122"/>
        <v/>
      </c>
      <c r="M781" s="25" t="str">
        <f t="shared" si="123"/>
        <v/>
      </c>
      <c r="N781" s="84" t="str">
        <f t="shared" si="124"/>
        <v/>
      </c>
      <c r="O781" s="23" t="str">
        <f t="shared" si="125"/>
        <v/>
      </c>
    </row>
    <row r="782" spans="1:15" ht="20" customHeight="1">
      <c r="A782" s="22" t="str">
        <f t="shared" si="117"/>
        <v/>
      </c>
      <c r="B782" s="23" t="str">
        <f>IF($E782="","",96)</f>
        <v/>
      </c>
      <c r="C782" s="24" t="str">
        <f>IF($E782="","",Inputs!$B$9+(95*Inputs!$B$21))</f>
        <v/>
      </c>
      <c r="D782" s="23" t="str">
        <f t="shared" si="118"/>
        <v/>
      </c>
      <c r="E782" s="25" t="str">
        <f t="shared" si="119"/>
        <v/>
      </c>
      <c r="F782" s="25" t="str">
        <f>IF($E782="","",ROUND(MIN(Comparison!$D$5,MAX(0,$E782+$H782)),2))</f>
        <v/>
      </c>
      <c r="G782" s="25" t="str">
        <f>IF($E782="","",ROUND(MIN(Inputs!$B$10,MAX(0,$E782+$H782-$F782)),2))</f>
        <v/>
      </c>
      <c r="H782" s="25" t="str">
        <f>IF($E782="","",ROUND(IF(Inputs!$B$12="Daily Simple Interest",$E782*Inputs!$B$6/Inputs!$B$17*$D782,$E782*Inputs!$B$6/Inputs!$B$20),2))</f>
        <v/>
      </c>
      <c r="I782" s="25" t="str">
        <f t="shared" si="120"/>
        <v/>
      </c>
      <c r="J782" s="25" t="str">
        <f>IF($E782="","",IF($F782+$G782&gt;0,Inputs!$B$11,0))</f>
        <v/>
      </c>
      <c r="K782" s="25" t="str">
        <f t="shared" si="121"/>
        <v/>
      </c>
      <c r="L782" s="25" t="str">
        <f t="shared" si="122"/>
        <v/>
      </c>
      <c r="M782" s="25" t="str">
        <f t="shared" si="123"/>
        <v/>
      </c>
      <c r="N782" s="84" t="str">
        <f t="shared" si="124"/>
        <v/>
      </c>
      <c r="O782" s="23" t="str">
        <f t="shared" si="125"/>
        <v/>
      </c>
    </row>
    <row r="783" spans="1:15" ht="20" customHeight="1">
      <c r="A783" s="22" t="str">
        <f t="shared" si="117"/>
        <v/>
      </c>
      <c r="B783" s="23" t="str">
        <f>IF($E783="","",97)</f>
        <v/>
      </c>
      <c r="C783" s="24" t="str">
        <f>IF($E783="","",Inputs!$B$9+(96*Inputs!$B$21))</f>
        <v/>
      </c>
      <c r="D783" s="23" t="str">
        <f t="shared" si="118"/>
        <v/>
      </c>
      <c r="E783" s="25" t="str">
        <f t="shared" si="119"/>
        <v/>
      </c>
      <c r="F783" s="25" t="str">
        <f>IF($E783="","",ROUND(MIN(Comparison!$D$5,MAX(0,$E783+$H783)),2))</f>
        <v/>
      </c>
      <c r="G783" s="25" t="str">
        <f>IF($E783="","",ROUND(MIN(Inputs!$B$10,MAX(0,$E783+$H783-$F783)),2))</f>
        <v/>
      </c>
      <c r="H783" s="25" t="str">
        <f>IF($E783="","",ROUND(IF(Inputs!$B$12="Daily Simple Interest",$E783*Inputs!$B$6/Inputs!$B$17*$D783,$E783*Inputs!$B$6/Inputs!$B$20),2))</f>
        <v/>
      </c>
      <c r="I783" s="25" t="str">
        <f t="shared" si="120"/>
        <v/>
      </c>
      <c r="J783" s="25" t="str">
        <f>IF($E783="","",IF($F783+$G783&gt;0,Inputs!$B$11,0))</f>
        <v/>
      </c>
      <c r="K783" s="25" t="str">
        <f t="shared" si="121"/>
        <v/>
      </c>
      <c r="L783" s="25" t="str">
        <f t="shared" si="122"/>
        <v/>
      </c>
      <c r="M783" s="25" t="str">
        <f t="shared" si="123"/>
        <v/>
      </c>
      <c r="N783" s="84" t="str">
        <f t="shared" si="124"/>
        <v/>
      </c>
      <c r="O783" s="23" t="str">
        <f t="shared" si="125"/>
        <v/>
      </c>
    </row>
    <row r="784" spans="1:15" ht="20" customHeight="1">
      <c r="A784" s="22" t="str">
        <f t="shared" si="117"/>
        <v/>
      </c>
      <c r="B784" s="23" t="str">
        <f>IF($E784="","",98)</f>
        <v/>
      </c>
      <c r="C784" s="24" t="str">
        <f>IF($E784="","",Inputs!$B$9+(97*Inputs!$B$21))</f>
        <v/>
      </c>
      <c r="D784" s="23" t="str">
        <f t="shared" si="118"/>
        <v/>
      </c>
      <c r="E784" s="25" t="str">
        <f t="shared" si="119"/>
        <v/>
      </c>
      <c r="F784" s="25" t="str">
        <f>IF($E784="","",ROUND(MIN(Comparison!$D$5,MAX(0,$E784+$H784)),2))</f>
        <v/>
      </c>
      <c r="G784" s="25" t="str">
        <f>IF($E784="","",ROUND(MIN(Inputs!$B$10,MAX(0,$E784+$H784-$F784)),2))</f>
        <v/>
      </c>
      <c r="H784" s="25" t="str">
        <f>IF($E784="","",ROUND(IF(Inputs!$B$12="Daily Simple Interest",$E784*Inputs!$B$6/Inputs!$B$17*$D784,$E784*Inputs!$B$6/Inputs!$B$20),2))</f>
        <v/>
      </c>
      <c r="I784" s="25" t="str">
        <f t="shared" si="120"/>
        <v/>
      </c>
      <c r="J784" s="25" t="str">
        <f>IF($E784="","",IF($F784+$G784&gt;0,Inputs!$B$11,0))</f>
        <v/>
      </c>
      <c r="K784" s="25" t="str">
        <f t="shared" si="121"/>
        <v/>
      </c>
      <c r="L784" s="25" t="str">
        <f t="shared" si="122"/>
        <v/>
      </c>
      <c r="M784" s="25" t="str">
        <f t="shared" si="123"/>
        <v/>
      </c>
      <c r="N784" s="84" t="str">
        <f t="shared" si="124"/>
        <v/>
      </c>
      <c r="O784" s="23" t="str">
        <f t="shared" si="125"/>
        <v/>
      </c>
    </row>
    <row r="785" spans="1:15" ht="20" customHeight="1">
      <c r="A785" s="22" t="str">
        <f t="shared" si="117"/>
        <v/>
      </c>
      <c r="B785" s="23" t="str">
        <f>IF($E785="","",99)</f>
        <v/>
      </c>
      <c r="C785" s="24" t="str">
        <f>IF($E785="","",Inputs!$B$9+(98*Inputs!$B$21))</f>
        <v/>
      </c>
      <c r="D785" s="23" t="str">
        <f t="shared" si="118"/>
        <v/>
      </c>
      <c r="E785" s="25" t="str">
        <f t="shared" si="119"/>
        <v/>
      </c>
      <c r="F785" s="25" t="str">
        <f>IF($E785="","",ROUND(MIN(Comparison!$D$5,MAX(0,$E785+$H785)),2))</f>
        <v/>
      </c>
      <c r="G785" s="25" t="str">
        <f>IF($E785="","",ROUND(MIN(Inputs!$B$10,MAX(0,$E785+$H785-$F785)),2))</f>
        <v/>
      </c>
      <c r="H785" s="25" t="str">
        <f>IF($E785="","",ROUND(IF(Inputs!$B$12="Daily Simple Interest",$E785*Inputs!$B$6/Inputs!$B$17*$D785,$E785*Inputs!$B$6/Inputs!$B$20),2))</f>
        <v/>
      </c>
      <c r="I785" s="25" t="str">
        <f t="shared" si="120"/>
        <v/>
      </c>
      <c r="J785" s="25" t="str">
        <f>IF($E785="","",IF($F785+$G785&gt;0,Inputs!$B$11,0))</f>
        <v/>
      </c>
      <c r="K785" s="25" t="str">
        <f t="shared" si="121"/>
        <v/>
      </c>
      <c r="L785" s="25" t="str">
        <f t="shared" si="122"/>
        <v/>
      </c>
      <c r="M785" s="25" t="str">
        <f t="shared" si="123"/>
        <v/>
      </c>
      <c r="N785" s="84" t="str">
        <f t="shared" si="124"/>
        <v/>
      </c>
      <c r="O785" s="23" t="str">
        <f t="shared" si="125"/>
        <v/>
      </c>
    </row>
    <row r="786" spans="1:15" ht="20" customHeight="1">
      <c r="A786" s="22" t="str">
        <f t="shared" si="117"/>
        <v/>
      </c>
      <c r="B786" s="23" t="str">
        <f>IF($E786="","",100)</f>
        <v/>
      </c>
      <c r="C786" s="24" t="str">
        <f>IF($E786="","",Inputs!$B$9+(99*Inputs!$B$21))</f>
        <v/>
      </c>
      <c r="D786" s="23" t="str">
        <f t="shared" si="118"/>
        <v/>
      </c>
      <c r="E786" s="25" t="str">
        <f t="shared" si="119"/>
        <v/>
      </c>
      <c r="F786" s="25" t="str">
        <f>IF($E786="","",ROUND(MIN(Comparison!$D$5,MAX(0,$E786+$H786)),2))</f>
        <v/>
      </c>
      <c r="G786" s="25" t="str">
        <f>IF($E786="","",ROUND(MIN(Inputs!$B$10,MAX(0,$E786+$H786-$F786)),2))</f>
        <v/>
      </c>
      <c r="H786" s="25" t="str">
        <f>IF($E786="","",ROUND(IF(Inputs!$B$12="Daily Simple Interest",$E786*Inputs!$B$6/Inputs!$B$17*$D786,$E786*Inputs!$B$6/Inputs!$B$20),2))</f>
        <v/>
      </c>
      <c r="I786" s="25" t="str">
        <f t="shared" si="120"/>
        <v/>
      </c>
      <c r="J786" s="25" t="str">
        <f>IF($E786="","",IF($F786+$G786&gt;0,Inputs!$B$11,0))</f>
        <v/>
      </c>
      <c r="K786" s="25" t="str">
        <f t="shared" si="121"/>
        <v/>
      </c>
      <c r="L786" s="25" t="str">
        <f t="shared" si="122"/>
        <v/>
      </c>
      <c r="M786" s="25" t="str">
        <f t="shared" si="123"/>
        <v/>
      </c>
      <c r="N786" s="84" t="str">
        <f t="shared" si="124"/>
        <v/>
      </c>
      <c r="O786" s="23" t="str">
        <f t="shared" si="125"/>
        <v/>
      </c>
    </row>
    <row r="787" spans="1:15" ht="20" customHeight="1">
      <c r="A787" s="22" t="str">
        <f t="shared" si="117"/>
        <v/>
      </c>
      <c r="B787" s="23" t="str">
        <f>IF($E787="","",101)</f>
        <v/>
      </c>
      <c r="C787" s="24" t="str">
        <f>IF($E787="","",Inputs!$B$9+(100*Inputs!$B$21))</f>
        <v/>
      </c>
      <c r="D787" s="23" t="str">
        <f t="shared" si="118"/>
        <v/>
      </c>
      <c r="E787" s="25" t="str">
        <f t="shared" si="119"/>
        <v/>
      </c>
      <c r="F787" s="25" t="str">
        <f>IF($E787="","",ROUND(MIN(Comparison!$D$5,MAX(0,$E787+$H787)),2))</f>
        <v/>
      </c>
      <c r="G787" s="25" t="str">
        <f>IF($E787="","",ROUND(MIN(Inputs!$B$10,MAX(0,$E787+$H787-$F787)),2))</f>
        <v/>
      </c>
      <c r="H787" s="25" t="str">
        <f>IF($E787="","",ROUND(IF(Inputs!$B$12="Daily Simple Interest",$E787*Inputs!$B$6/Inputs!$B$17*$D787,$E787*Inputs!$B$6/Inputs!$B$20),2))</f>
        <v/>
      </c>
      <c r="I787" s="25" t="str">
        <f t="shared" si="120"/>
        <v/>
      </c>
      <c r="J787" s="25" t="str">
        <f>IF($E787="","",IF($F787+$G787&gt;0,Inputs!$B$11,0))</f>
        <v/>
      </c>
      <c r="K787" s="25" t="str">
        <f t="shared" si="121"/>
        <v/>
      </c>
      <c r="L787" s="25" t="str">
        <f t="shared" si="122"/>
        <v/>
      </c>
      <c r="M787" s="25" t="str">
        <f t="shared" si="123"/>
        <v/>
      </c>
      <c r="N787" s="84" t="str">
        <f t="shared" si="124"/>
        <v/>
      </c>
      <c r="O787" s="23" t="str">
        <f t="shared" si="125"/>
        <v/>
      </c>
    </row>
    <row r="788" spans="1:15" ht="20" customHeight="1">
      <c r="A788" s="22" t="str">
        <f t="shared" si="117"/>
        <v/>
      </c>
      <c r="B788" s="23" t="str">
        <f>IF($E788="","",102)</f>
        <v/>
      </c>
      <c r="C788" s="24" t="str">
        <f>IF($E788="","",Inputs!$B$9+(101*Inputs!$B$21))</f>
        <v/>
      </c>
      <c r="D788" s="23" t="str">
        <f t="shared" si="118"/>
        <v/>
      </c>
      <c r="E788" s="25" t="str">
        <f t="shared" si="119"/>
        <v/>
      </c>
      <c r="F788" s="25" t="str">
        <f>IF($E788="","",ROUND(MIN(Comparison!$D$5,MAX(0,$E788+$H788)),2))</f>
        <v/>
      </c>
      <c r="G788" s="25" t="str">
        <f>IF($E788="","",ROUND(MIN(Inputs!$B$10,MAX(0,$E788+$H788-$F788)),2))</f>
        <v/>
      </c>
      <c r="H788" s="25" t="str">
        <f>IF($E788="","",ROUND(IF(Inputs!$B$12="Daily Simple Interest",$E788*Inputs!$B$6/Inputs!$B$17*$D788,$E788*Inputs!$B$6/Inputs!$B$20),2))</f>
        <v/>
      </c>
      <c r="I788" s="25" t="str">
        <f t="shared" si="120"/>
        <v/>
      </c>
      <c r="J788" s="25" t="str">
        <f>IF($E788="","",IF($F788+$G788&gt;0,Inputs!$B$11,0))</f>
        <v/>
      </c>
      <c r="K788" s="25" t="str">
        <f t="shared" si="121"/>
        <v/>
      </c>
      <c r="L788" s="25" t="str">
        <f t="shared" si="122"/>
        <v/>
      </c>
      <c r="M788" s="25" t="str">
        <f t="shared" si="123"/>
        <v/>
      </c>
      <c r="N788" s="84" t="str">
        <f t="shared" si="124"/>
        <v/>
      </c>
      <c r="O788" s="23" t="str">
        <f t="shared" si="125"/>
        <v/>
      </c>
    </row>
    <row r="789" spans="1:15" ht="20" customHeight="1">
      <c r="A789" s="22" t="str">
        <f t="shared" si="117"/>
        <v/>
      </c>
      <c r="B789" s="23" t="str">
        <f>IF($E789="","",103)</f>
        <v/>
      </c>
      <c r="C789" s="24" t="str">
        <f>IF($E789="","",Inputs!$B$9+(102*Inputs!$B$21))</f>
        <v/>
      </c>
      <c r="D789" s="23" t="str">
        <f t="shared" si="118"/>
        <v/>
      </c>
      <c r="E789" s="25" t="str">
        <f t="shared" si="119"/>
        <v/>
      </c>
      <c r="F789" s="25" t="str">
        <f>IF($E789="","",ROUND(MIN(Comparison!$D$5,MAX(0,$E789+$H789)),2))</f>
        <v/>
      </c>
      <c r="G789" s="25" t="str">
        <f>IF($E789="","",ROUND(MIN(Inputs!$B$10,MAX(0,$E789+$H789-$F789)),2))</f>
        <v/>
      </c>
      <c r="H789" s="25" t="str">
        <f>IF($E789="","",ROUND(IF(Inputs!$B$12="Daily Simple Interest",$E789*Inputs!$B$6/Inputs!$B$17*$D789,$E789*Inputs!$B$6/Inputs!$B$20),2))</f>
        <v/>
      </c>
      <c r="I789" s="25" t="str">
        <f t="shared" si="120"/>
        <v/>
      </c>
      <c r="J789" s="25" t="str">
        <f>IF($E789="","",IF($F789+$G789&gt;0,Inputs!$B$11,0))</f>
        <v/>
      </c>
      <c r="K789" s="25" t="str">
        <f t="shared" si="121"/>
        <v/>
      </c>
      <c r="L789" s="25" t="str">
        <f t="shared" si="122"/>
        <v/>
      </c>
      <c r="M789" s="25" t="str">
        <f t="shared" si="123"/>
        <v/>
      </c>
      <c r="N789" s="84" t="str">
        <f t="shared" si="124"/>
        <v/>
      </c>
      <c r="O789" s="23" t="str">
        <f t="shared" si="125"/>
        <v/>
      </c>
    </row>
    <row r="790" spans="1:15" ht="20" customHeight="1">
      <c r="A790" s="22" t="str">
        <f t="shared" si="117"/>
        <v/>
      </c>
      <c r="B790" s="23" t="str">
        <f>IF($E790="","",104)</f>
        <v/>
      </c>
      <c r="C790" s="24" t="str">
        <f>IF($E790="","",Inputs!$B$9+(103*Inputs!$B$21))</f>
        <v/>
      </c>
      <c r="D790" s="23" t="str">
        <f t="shared" si="118"/>
        <v/>
      </c>
      <c r="E790" s="25" t="str">
        <f t="shared" si="119"/>
        <v/>
      </c>
      <c r="F790" s="25" t="str">
        <f>IF($E790="","",ROUND(MIN(Comparison!$D$5,MAX(0,$E790+$H790)),2))</f>
        <v/>
      </c>
      <c r="G790" s="25" t="str">
        <f>IF($E790="","",ROUND(MIN(Inputs!$B$10,MAX(0,$E790+$H790-$F790)),2))</f>
        <v/>
      </c>
      <c r="H790" s="25" t="str">
        <f>IF($E790="","",ROUND(IF(Inputs!$B$12="Daily Simple Interest",$E790*Inputs!$B$6/Inputs!$B$17*$D790,$E790*Inputs!$B$6/Inputs!$B$20),2))</f>
        <v/>
      </c>
      <c r="I790" s="25" t="str">
        <f t="shared" si="120"/>
        <v/>
      </c>
      <c r="J790" s="25" t="str">
        <f>IF($E790="","",IF($F790+$G790&gt;0,Inputs!$B$11,0))</f>
        <v/>
      </c>
      <c r="K790" s="25" t="str">
        <f t="shared" si="121"/>
        <v/>
      </c>
      <c r="L790" s="25" t="str">
        <f t="shared" si="122"/>
        <v/>
      </c>
      <c r="M790" s="25" t="str">
        <f t="shared" si="123"/>
        <v/>
      </c>
      <c r="N790" s="84" t="str">
        <f t="shared" si="124"/>
        <v/>
      </c>
      <c r="O790" s="23" t="str">
        <f t="shared" si="125"/>
        <v/>
      </c>
    </row>
    <row r="791" spans="1:15" ht="20" customHeight="1">
      <c r="A791" s="22" t="str">
        <f t="shared" si="117"/>
        <v/>
      </c>
      <c r="B791" s="23" t="str">
        <f>IF($E791="","",105)</f>
        <v/>
      </c>
      <c r="C791" s="24" t="str">
        <f>IF($E791="","",Inputs!$B$9+(104*Inputs!$B$21))</f>
        <v/>
      </c>
      <c r="D791" s="23" t="str">
        <f t="shared" si="118"/>
        <v/>
      </c>
      <c r="E791" s="25" t="str">
        <f t="shared" si="119"/>
        <v/>
      </c>
      <c r="F791" s="25" t="str">
        <f>IF($E791="","",ROUND(MIN(Comparison!$D$5,MAX(0,$E791+$H791)),2))</f>
        <v/>
      </c>
      <c r="G791" s="25" t="str">
        <f>IF($E791="","",ROUND(MIN(Inputs!$B$10,MAX(0,$E791+$H791-$F791)),2))</f>
        <v/>
      </c>
      <c r="H791" s="25" t="str">
        <f>IF($E791="","",ROUND(IF(Inputs!$B$12="Daily Simple Interest",$E791*Inputs!$B$6/Inputs!$B$17*$D791,$E791*Inputs!$B$6/Inputs!$B$20),2))</f>
        <v/>
      </c>
      <c r="I791" s="25" t="str">
        <f t="shared" si="120"/>
        <v/>
      </c>
      <c r="J791" s="25" t="str">
        <f>IF($E791="","",IF($F791+$G791&gt;0,Inputs!$B$11,0))</f>
        <v/>
      </c>
      <c r="K791" s="25" t="str">
        <f t="shared" si="121"/>
        <v/>
      </c>
      <c r="L791" s="25" t="str">
        <f t="shared" si="122"/>
        <v/>
      </c>
      <c r="M791" s="25" t="str">
        <f t="shared" si="123"/>
        <v/>
      </c>
      <c r="N791" s="84" t="str">
        <f t="shared" si="124"/>
        <v/>
      </c>
      <c r="O791" s="23" t="str">
        <f t="shared" si="125"/>
        <v/>
      </c>
    </row>
    <row r="792" spans="1:15" ht="20" customHeight="1">
      <c r="A792" s="22" t="str">
        <f t="shared" si="117"/>
        <v/>
      </c>
      <c r="B792" s="23" t="str">
        <f>IF($E792="","",106)</f>
        <v/>
      </c>
      <c r="C792" s="24" t="str">
        <f>IF($E792="","",Inputs!$B$9+(105*Inputs!$B$21))</f>
        <v/>
      </c>
      <c r="D792" s="23" t="str">
        <f t="shared" si="118"/>
        <v/>
      </c>
      <c r="E792" s="25" t="str">
        <f t="shared" si="119"/>
        <v/>
      </c>
      <c r="F792" s="25" t="str">
        <f>IF($E792="","",ROUND(MIN(Comparison!$D$5,MAX(0,$E792+$H792)),2))</f>
        <v/>
      </c>
      <c r="G792" s="25" t="str">
        <f>IF($E792="","",ROUND(MIN(Inputs!$B$10,MAX(0,$E792+$H792-$F792)),2))</f>
        <v/>
      </c>
      <c r="H792" s="25" t="str">
        <f>IF($E792="","",ROUND(IF(Inputs!$B$12="Daily Simple Interest",$E792*Inputs!$B$6/Inputs!$B$17*$D792,$E792*Inputs!$B$6/Inputs!$B$20),2))</f>
        <v/>
      </c>
      <c r="I792" s="25" t="str">
        <f t="shared" si="120"/>
        <v/>
      </c>
      <c r="J792" s="25" t="str">
        <f>IF($E792="","",IF($F792+$G792&gt;0,Inputs!$B$11,0))</f>
        <v/>
      </c>
      <c r="K792" s="25" t="str">
        <f t="shared" si="121"/>
        <v/>
      </c>
      <c r="L792" s="25" t="str">
        <f t="shared" si="122"/>
        <v/>
      </c>
      <c r="M792" s="25" t="str">
        <f t="shared" si="123"/>
        <v/>
      </c>
      <c r="N792" s="84" t="str">
        <f t="shared" si="124"/>
        <v/>
      </c>
      <c r="O792" s="23" t="str">
        <f t="shared" si="125"/>
        <v/>
      </c>
    </row>
    <row r="793" spans="1:15" ht="20" customHeight="1">
      <c r="A793" s="22" t="str">
        <f t="shared" si="117"/>
        <v/>
      </c>
      <c r="B793" s="23" t="str">
        <f>IF($E793="","",107)</f>
        <v/>
      </c>
      <c r="C793" s="24" t="str">
        <f>IF($E793="","",Inputs!$B$9+(106*Inputs!$B$21))</f>
        <v/>
      </c>
      <c r="D793" s="23" t="str">
        <f t="shared" si="118"/>
        <v/>
      </c>
      <c r="E793" s="25" t="str">
        <f t="shared" si="119"/>
        <v/>
      </c>
      <c r="F793" s="25" t="str">
        <f>IF($E793="","",ROUND(MIN(Comparison!$D$5,MAX(0,$E793+$H793)),2))</f>
        <v/>
      </c>
      <c r="G793" s="25" t="str">
        <f>IF($E793="","",ROUND(MIN(Inputs!$B$10,MAX(0,$E793+$H793-$F793)),2))</f>
        <v/>
      </c>
      <c r="H793" s="25" t="str">
        <f>IF($E793="","",ROUND(IF(Inputs!$B$12="Daily Simple Interest",$E793*Inputs!$B$6/Inputs!$B$17*$D793,$E793*Inputs!$B$6/Inputs!$B$20),2))</f>
        <v/>
      </c>
      <c r="I793" s="25" t="str">
        <f t="shared" si="120"/>
        <v/>
      </c>
      <c r="J793" s="25" t="str">
        <f>IF($E793="","",IF($F793+$G793&gt;0,Inputs!$B$11,0))</f>
        <v/>
      </c>
      <c r="K793" s="25" t="str">
        <f t="shared" si="121"/>
        <v/>
      </c>
      <c r="L793" s="25" t="str">
        <f t="shared" si="122"/>
        <v/>
      </c>
      <c r="M793" s="25" t="str">
        <f t="shared" si="123"/>
        <v/>
      </c>
      <c r="N793" s="84" t="str">
        <f t="shared" si="124"/>
        <v/>
      </c>
      <c r="O793" s="23" t="str">
        <f t="shared" si="125"/>
        <v/>
      </c>
    </row>
    <row r="794" spans="1:15" ht="20" customHeight="1">
      <c r="A794" s="22" t="str">
        <f t="shared" si="117"/>
        <v/>
      </c>
      <c r="B794" s="23" t="str">
        <f>IF($E794="","",108)</f>
        <v/>
      </c>
      <c r="C794" s="24" t="str">
        <f>IF($E794="","",Inputs!$B$9+(107*Inputs!$B$21))</f>
        <v/>
      </c>
      <c r="D794" s="23" t="str">
        <f t="shared" si="118"/>
        <v/>
      </c>
      <c r="E794" s="25" t="str">
        <f t="shared" si="119"/>
        <v/>
      </c>
      <c r="F794" s="25" t="str">
        <f>IF($E794="","",ROUND(MIN(Comparison!$D$5,MAX(0,$E794+$H794)),2))</f>
        <v/>
      </c>
      <c r="G794" s="25" t="str">
        <f>IF($E794="","",ROUND(MIN(Inputs!$B$10,MAX(0,$E794+$H794-$F794)),2))</f>
        <v/>
      </c>
      <c r="H794" s="25" t="str">
        <f>IF($E794="","",ROUND(IF(Inputs!$B$12="Daily Simple Interest",$E794*Inputs!$B$6/Inputs!$B$17*$D794,$E794*Inputs!$B$6/Inputs!$B$20),2))</f>
        <v/>
      </c>
      <c r="I794" s="25" t="str">
        <f t="shared" si="120"/>
        <v/>
      </c>
      <c r="J794" s="25" t="str">
        <f>IF($E794="","",IF($F794+$G794&gt;0,Inputs!$B$11,0))</f>
        <v/>
      </c>
      <c r="K794" s="25" t="str">
        <f t="shared" si="121"/>
        <v/>
      </c>
      <c r="L794" s="25" t="str">
        <f t="shared" si="122"/>
        <v/>
      </c>
      <c r="M794" s="25" t="str">
        <f t="shared" si="123"/>
        <v/>
      </c>
      <c r="N794" s="84" t="str">
        <f t="shared" si="124"/>
        <v/>
      </c>
      <c r="O794" s="23" t="str">
        <f t="shared" si="125"/>
        <v/>
      </c>
    </row>
    <row r="795" spans="1:15" ht="20" customHeight="1">
      <c r="A795" s="22" t="str">
        <f t="shared" si="117"/>
        <v/>
      </c>
      <c r="B795" s="23" t="str">
        <f>IF($E795="","",109)</f>
        <v/>
      </c>
      <c r="C795" s="24" t="str">
        <f>IF($E795="","",Inputs!$B$9+(108*Inputs!$B$21))</f>
        <v/>
      </c>
      <c r="D795" s="23" t="str">
        <f t="shared" si="118"/>
        <v/>
      </c>
      <c r="E795" s="25" t="str">
        <f t="shared" si="119"/>
        <v/>
      </c>
      <c r="F795" s="25" t="str">
        <f>IF($E795="","",ROUND(MIN(Comparison!$D$5,MAX(0,$E795+$H795)),2))</f>
        <v/>
      </c>
      <c r="G795" s="25" t="str">
        <f>IF($E795="","",ROUND(MIN(Inputs!$B$10,MAX(0,$E795+$H795-$F795)),2))</f>
        <v/>
      </c>
      <c r="H795" s="25" t="str">
        <f>IF($E795="","",ROUND(IF(Inputs!$B$12="Daily Simple Interest",$E795*Inputs!$B$6/Inputs!$B$17*$D795,$E795*Inputs!$B$6/Inputs!$B$20),2))</f>
        <v/>
      </c>
      <c r="I795" s="25" t="str">
        <f t="shared" si="120"/>
        <v/>
      </c>
      <c r="J795" s="25" t="str">
        <f>IF($E795="","",IF($F795+$G795&gt;0,Inputs!$B$11,0))</f>
        <v/>
      </c>
      <c r="K795" s="25" t="str">
        <f t="shared" si="121"/>
        <v/>
      </c>
      <c r="L795" s="25" t="str">
        <f t="shared" si="122"/>
        <v/>
      </c>
      <c r="M795" s="25" t="str">
        <f t="shared" si="123"/>
        <v/>
      </c>
      <c r="N795" s="84" t="str">
        <f t="shared" si="124"/>
        <v/>
      </c>
      <c r="O795" s="23" t="str">
        <f t="shared" si="125"/>
        <v/>
      </c>
    </row>
    <row r="796" spans="1:15" ht="20" customHeight="1">
      <c r="A796" s="22" t="str">
        <f t="shared" si="117"/>
        <v/>
      </c>
      <c r="B796" s="23" t="str">
        <f>IF($E796="","",110)</f>
        <v/>
      </c>
      <c r="C796" s="24" t="str">
        <f>IF($E796="","",Inputs!$B$9+(109*Inputs!$B$21))</f>
        <v/>
      </c>
      <c r="D796" s="23" t="str">
        <f t="shared" si="118"/>
        <v/>
      </c>
      <c r="E796" s="25" t="str">
        <f t="shared" si="119"/>
        <v/>
      </c>
      <c r="F796" s="25" t="str">
        <f>IF($E796="","",ROUND(MIN(Comparison!$D$5,MAX(0,$E796+$H796)),2))</f>
        <v/>
      </c>
      <c r="G796" s="25" t="str">
        <f>IF($E796="","",ROUND(MIN(Inputs!$B$10,MAX(0,$E796+$H796-$F796)),2))</f>
        <v/>
      </c>
      <c r="H796" s="25" t="str">
        <f>IF($E796="","",ROUND(IF(Inputs!$B$12="Daily Simple Interest",$E796*Inputs!$B$6/Inputs!$B$17*$D796,$E796*Inputs!$B$6/Inputs!$B$20),2))</f>
        <v/>
      </c>
      <c r="I796" s="25" t="str">
        <f t="shared" si="120"/>
        <v/>
      </c>
      <c r="J796" s="25" t="str">
        <f>IF($E796="","",IF($F796+$G796&gt;0,Inputs!$B$11,0))</f>
        <v/>
      </c>
      <c r="K796" s="25" t="str">
        <f t="shared" si="121"/>
        <v/>
      </c>
      <c r="L796" s="25" t="str">
        <f t="shared" si="122"/>
        <v/>
      </c>
      <c r="M796" s="25" t="str">
        <f t="shared" si="123"/>
        <v/>
      </c>
      <c r="N796" s="84" t="str">
        <f t="shared" si="124"/>
        <v/>
      </c>
      <c r="O796" s="23" t="str">
        <f t="shared" si="125"/>
        <v/>
      </c>
    </row>
    <row r="797" spans="1:15" ht="20" customHeight="1">
      <c r="A797" s="22" t="str">
        <f t="shared" si="117"/>
        <v/>
      </c>
      <c r="B797" s="23" t="str">
        <f>IF($E797="","",111)</f>
        <v/>
      </c>
      <c r="C797" s="24" t="str">
        <f>IF($E797="","",Inputs!$B$9+(110*Inputs!$B$21))</f>
        <v/>
      </c>
      <c r="D797" s="23" t="str">
        <f t="shared" si="118"/>
        <v/>
      </c>
      <c r="E797" s="25" t="str">
        <f t="shared" si="119"/>
        <v/>
      </c>
      <c r="F797" s="25" t="str">
        <f>IF($E797="","",ROUND(MIN(Comparison!$D$5,MAX(0,$E797+$H797)),2))</f>
        <v/>
      </c>
      <c r="G797" s="25" t="str">
        <f>IF($E797="","",ROUND(MIN(Inputs!$B$10,MAX(0,$E797+$H797-$F797)),2))</f>
        <v/>
      </c>
      <c r="H797" s="25" t="str">
        <f>IF($E797="","",ROUND(IF(Inputs!$B$12="Daily Simple Interest",$E797*Inputs!$B$6/Inputs!$B$17*$D797,$E797*Inputs!$B$6/Inputs!$B$20),2))</f>
        <v/>
      </c>
      <c r="I797" s="25" t="str">
        <f t="shared" si="120"/>
        <v/>
      </c>
      <c r="J797" s="25" t="str">
        <f>IF($E797="","",IF($F797+$G797&gt;0,Inputs!$B$11,0))</f>
        <v/>
      </c>
      <c r="K797" s="25" t="str">
        <f t="shared" si="121"/>
        <v/>
      </c>
      <c r="L797" s="25" t="str">
        <f t="shared" si="122"/>
        <v/>
      </c>
      <c r="M797" s="25" t="str">
        <f t="shared" si="123"/>
        <v/>
      </c>
      <c r="N797" s="84" t="str">
        <f t="shared" si="124"/>
        <v/>
      </c>
      <c r="O797" s="23" t="str">
        <f t="shared" si="125"/>
        <v/>
      </c>
    </row>
    <row r="798" spans="1:15" ht="20" customHeight="1">
      <c r="A798" s="22" t="str">
        <f t="shared" si="117"/>
        <v/>
      </c>
      <c r="B798" s="23" t="str">
        <f>IF($E798="","",112)</f>
        <v/>
      </c>
      <c r="C798" s="24" t="str">
        <f>IF($E798="","",Inputs!$B$9+(111*Inputs!$B$21))</f>
        <v/>
      </c>
      <c r="D798" s="23" t="str">
        <f t="shared" si="118"/>
        <v/>
      </c>
      <c r="E798" s="25" t="str">
        <f t="shared" si="119"/>
        <v/>
      </c>
      <c r="F798" s="25" t="str">
        <f>IF($E798="","",ROUND(MIN(Comparison!$D$5,MAX(0,$E798+$H798)),2))</f>
        <v/>
      </c>
      <c r="G798" s="25" t="str">
        <f>IF($E798="","",ROUND(MIN(Inputs!$B$10,MAX(0,$E798+$H798-$F798)),2))</f>
        <v/>
      </c>
      <c r="H798" s="25" t="str">
        <f>IF($E798="","",ROUND(IF(Inputs!$B$12="Daily Simple Interest",$E798*Inputs!$B$6/Inputs!$B$17*$D798,$E798*Inputs!$B$6/Inputs!$B$20),2))</f>
        <v/>
      </c>
      <c r="I798" s="25" t="str">
        <f t="shared" si="120"/>
        <v/>
      </c>
      <c r="J798" s="25" t="str">
        <f>IF($E798="","",IF($F798+$G798&gt;0,Inputs!$B$11,0))</f>
        <v/>
      </c>
      <c r="K798" s="25" t="str">
        <f t="shared" si="121"/>
        <v/>
      </c>
      <c r="L798" s="25" t="str">
        <f t="shared" si="122"/>
        <v/>
      </c>
      <c r="M798" s="25" t="str">
        <f t="shared" si="123"/>
        <v/>
      </c>
      <c r="N798" s="84" t="str">
        <f t="shared" si="124"/>
        <v/>
      </c>
      <c r="O798" s="23" t="str">
        <f t="shared" si="125"/>
        <v/>
      </c>
    </row>
    <row r="799" spans="1:15" ht="20" customHeight="1">
      <c r="A799" s="22" t="str">
        <f t="shared" si="117"/>
        <v/>
      </c>
      <c r="B799" s="23" t="str">
        <f>IF($E799="","",113)</f>
        <v/>
      </c>
      <c r="C799" s="24" t="str">
        <f>IF($E799="","",Inputs!$B$9+(112*Inputs!$B$21))</f>
        <v/>
      </c>
      <c r="D799" s="23" t="str">
        <f t="shared" si="118"/>
        <v/>
      </c>
      <c r="E799" s="25" t="str">
        <f t="shared" si="119"/>
        <v/>
      </c>
      <c r="F799" s="25" t="str">
        <f>IF($E799="","",ROUND(MIN(Comparison!$D$5,MAX(0,$E799+$H799)),2))</f>
        <v/>
      </c>
      <c r="G799" s="25" t="str">
        <f>IF($E799="","",ROUND(MIN(Inputs!$B$10,MAX(0,$E799+$H799-$F799)),2))</f>
        <v/>
      </c>
      <c r="H799" s="25" t="str">
        <f>IF($E799="","",ROUND(IF(Inputs!$B$12="Daily Simple Interest",$E799*Inputs!$B$6/Inputs!$B$17*$D799,$E799*Inputs!$B$6/Inputs!$B$20),2))</f>
        <v/>
      </c>
      <c r="I799" s="25" t="str">
        <f t="shared" si="120"/>
        <v/>
      </c>
      <c r="J799" s="25" t="str">
        <f>IF($E799="","",IF($F799+$G799&gt;0,Inputs!$B$11,0))</f>
        <v/>
      </c>
      <c r="K799" s="25" t="str">
        <f t="shared" si="121"/>
        <v/>
      </c>
      <c r="L799" s="25" t="str">
        <f t="shared" si="122"/>
        <v/>
      </c>
      <c r="M799" s="25" t="str">
        <f t="shared" si="123"/>
        <v/>
      </c>
      <c r="N799" s="84" t="str">
        <f t="shared" si="124"/>
        <v/>
      </c>
      <c r="O799" s="23" t="str">
        <f t="shared" si="125"/>
        <v/>
      </c>
    </row>
    <row r="800" spans="1:15" ht="20" customHeight="1">
      <c r="A800" s="22" t="str">
        <f t="shared" si="117"/>
        <v/>
      </c>
      <c r="B800" s="23" t="str">
        <f>IF($E800="","",114)</f>
        <v/>
      </c>
      <c r="C800" s="24" t="str">
        <f>IF($E800="","",Inputs!$B$9+(113*Inputs!$B$21))</f>
        <v/>
      </c>
      <c r="D800" s="23" t="str">
        <f t="shared" si="118"/>
        <v/>
      </c>
      <c r="E800" s="25" t="str">
        <f t="shared" si="119"/>
        <v/>
      </c>
      <c r="F800" s="25" t="str">
        <f>IF($E800="","",ROUND(MIN(Comparison!$D$5,MAX(0,$E800+$H800)),2))</f>
        <v/>
      </c>
      <c r="G800" s="25" t="str">
        <f>IF($E800="","",ROUND(MIN(Inputs!$B$10,MAX(0,$E800+$H800-$F800)),2))</f>
        <v/>
      </c>
      <c r="H800" s="25" t="str">
        <f>IF($E800="","",ROUND(IF(Inputs!$B$12="Daily Simple Interest",$E800*Inputs!$B$6/Inputs!$B$17*$D800,$E800*Inputs!$B$6/Inputs!$B$20),2))</f>
        <v/>
      </c>
      <c r="I800" s="25" t="str">
        <f t="shared" si="120"/>
        <v/>
      </c>
      <c r="J800" s="25" t="str">
        <f>IF($E800="","",IF($F800+$G800&gt;0,Inputs!$B$11,0))</f>
        <v/>
      </c>
      <c r="K800" s="25" t="str">
        <f t="shared" si="121"/>
        <v/>
      </c>
      <c r="L800" s="25" t="str">
        <f t="shared" si="122"/>
        <v/>
      </c>
      <c r="M800" s="25" t="str">
        <f t="shared" si="123"/>
        <v/>
      </c>
      <c r="N800" s="84" t="str">
        <f t="shared" si="124"/>
        <v/>
      </c>
      <c r="O800" s="23" t="str">
        <f t="shared" si="125"/>
        <v/>
      </c>
    </row>
    <row r="801" spans="1:15" ht="20" customHeight="1">
      <c r="A801" s="22" t="str">
        <f t="shared" si="117"/>
        <v/>
      </c>
      <c r="B801" s="23" t="str">
        <f>IF($E801="","",115)</f>
        <v/>
      </c>
      <c r="C801" s="24" t="str">
        <f>IF($E801="","",Inputs!$B$9+(114*Inputs!$B$21))</f>
        <v/>
      </c>
      <c r="D801" s="23" t="str">
        <f t="shared" si="118"/>
        <v/>
      </c>
      <c r="E801" s="25" t="str">
        <f t="shared" si="119"/>
        <v/>
      </c>
      <c r="F801" s="25" t="str">
        <f>IF($E801="","",ROUND(MIN(Comparison!$D$5,MAX(0,$E801+$H801)),2))</f>
        <v/>
      </c>
      <c r="G801" s="25" t="str">
        <f>IF($E801="","",ROUND(MIN(Inputs!$B$10,MAX(0,$E801+$H801-$F801)),2))</f>
        <v/>
      </c>
      <c r="H801" s="25" t="str">
        <f>IF($E801="","",ROUND(IF(Inputs!$B$12="Daily Simple Interest",$E801*Inputs!$B$6/Inputs!$B$17*$D801,$E801*Inputs!$B$6/Inputs!$B$20),2))</f>
        <v/>
      </c>
      <c r="I801" s="25" t="str">
        <f t="shared" si="120"/>
        <v/>
      </c>
      <c r="J801" s="25" t="str">
        <f>IF($E801="","",IF($F801+$G801&gt;0,Inputs!$B$11,0))</f>
        <v/>
      </c>
      <c r="K801" s="25" t="str">
        <f t="shared" si="121"/>
        <v/>
      </c>
      <c r="L801" s="25" t="str">
        <f t="shared" si="122"/>
        <v/>
      </c>
      <c r="M801" s="25" t="str">
        <f t="shared" si="123"/>
        <v/>
      </c>
      <c r="N801" s="84" t="str">
        <f t="shared" si="124"/>
        <v/>
      </c>
      <c r="O801" s="23" t="str">
        <f t="shared" si="125"/>
        <v/>
      </c>
    </row>
    <row r="802" spans="1:15" ht="20" customHeight="1">
      <c r="A802" s="22" t="str">
        <f t="shared" si="117"/>
        <v/>
      </c>
      <c r="B802" s="23" t="str">
        <f>IF($E802="","",116)</f>
        <v/>
      </c>
      <c r="C802" s="24" t="str">
        <f>IF($E802="","",Inputs!$B$9+(115*Inputs!$B$21))</f>
        <v/>
      </c>
      <c r="D802" s="23" t="str">
        <f t="shared" si="118"/>
        <v/>
      </c>
      <c r="E802" s="25" t="str">
        <f t="shared" si="119"/>
        <v/>
      </c>
      <c r="F802" s="25" t="str">
        <f>IF($E802="","",ROUND(MIN(Comparison!$D$5,MAX(0,$E802+$H802)),2))</f>
        <v/>
      </c>
      <c r="G802" s="25" t="str">
        <f>IF($E802="","",ROUND(MIN(Inputs!$B$10,MAX(0,$E802+$H802-$F802)),2))</f>
        <v/>
      </c>
      <c r="H802" s="25" t="str">
        <f>IF($E802="","",ROUND(IF(Inputs!$B$12="Daily Simple Interest",$E802*Inputs!$B$6/Inputs!$B$17*$D802,$E802*Inputs!$B$6/Inputs!$B$20),2))</f>
        <v/>
      </c>
      <c r="I802" s="25" t="str">
        <f t="shared" si="120"/>
        <v/>
      </c>
      <c r="J802" s="25" t="str">
        <f>IF($E802="","",IF($F802+$G802&gt;0,Inputs!$B$11,0))</f>
        <v/>
      </c>
      <c r="K802" s="25" t="str">
        <f t="shared" si="121"/>
        <v/>
      </c>
      <c r="L802" s="25" t="str">
        <f t="shared" si="122"/>
        <v/>
      </c>
      <c r="M802" s="25" t="str">
        <f t="shared" si="123"/>
        <v/>
      </c>
      <c r="N802" s="84" t="str">
        <f t="shared" si="124"/>
        <v/>
      </c>
      <c r="O802" s="23" t="str">
        <f t="shared" si="125"/>
        <v/>
      </c>
    </row>
    <row r="803" spans="1:15" ht="20" customHeight="1">
      <c r="A803" s="22" t="str">
        <f t="shared" si="117"/>
        <v/>
      </c>
      <c r="B803" s="23" t="str">
        <f>IF($E803="","",117)</f>
        <v/>
      </c>
      <c r="C803" s="24" t="str">
        <f>IF($E803="","",Inputs!$B$9+(116*Inputs!$B$21))</f>
        <v/>
      </c>
      <c r="D803" s="23" t="str">
        <f t="shared" si="118"/>
        <v/>
      </c>
      <c r="E803" s="25" t="str">
        <f t="shared" si="119"/>
        <v/>
      </c>
      <c r="F803" s="25" t="str">
        <f>IF($E803="","",ROUND(MIN(Comparison!$D$5,MAX(0,$E803+$H803)),2))</f>
        <v/>
      </c>
      <c r="G803" s="25" t="str">
        <f>IF($E803="","",ROUND(MIN(Inputs!$B$10,MAX(0,$E803+$H803-$F803)),2))</f>
        <v/>
      </c>
      <c r="H803" s="25" t="str">
        <f>IF($E803="","",ROUND(IF(Inputs!$B$12="Daily Simple Interest",$E803*Inputs!$B$6/Inputs!$B$17*$D803,$E803*Inputs!$B$6/Inputs!$B$20),2))</f>
        <v/>
      </c>
      <c r="I803" s="25" t="str">
        <f t="shared" si="120"/>
        <v/>
      </c>
      <c r="J803" s="25" t="str">
        <f>IF($E803="","",IF($F803+$G803&gt;0,Inputs!$B$11,0))</f>
        <v/>
      </c>
      <c r="K803" s="25" t="str">
        <f t="shared" si="121"/>
        <v/>
      </c>
      <c r="L803" s="25" t="str">
        <f t="shared" si="122"/>
        <v/>
      </c>
      <c r="M803" s="25" t="str">
        <f t="shared" si="123"/>
        <v/>
      </c>
      <c r="N803" s="84" t="str">
        <f t="shared" si="124"/>
        <v/>
      </c>
      <c r="O803" s="23" t="str">
        <f t="shared" si="125"/>
        <v/>
      </c>
    </row>
    <row r="804" spans="1:15" ht="20" customHeight="1">
      <c r="A804" s="22" t="str">
        <f t="shared" si="117"/>
        <v/>
      </c>
      <c r="B804" s="23" t="str">
        <f>IF($E804="","",118)</f>
        <v/>
      </c>
      <c r="C804" s="24" t="str">
        <f>IF($E804="","",Inputs!$B$9+(117*Inputs!$B$21))</f>
        <v/>
      </c>
      <c r="D804" s="23" t="str">
        <f t="shared" si="118"/>
        <v/>
      </c>
      <c r="E804" s="25" t="str">
        <f t="shared" si="119"/>
        <v/>
      </c>
      <c r="F804" s="25" t="str">
        <f>IF($E804="","",ROUND(MIN(Comparison!$D$5,MAX(0,$E804+$H804)),2))</f>
        <v/>
      </c>
      <c r="G804" s="25" t="str">
        <f>IF($E804="","",ROUND(MIN(Inputs!$B$10,MAX(0,$E804+$H804-$F804)),2))</f>
        <v/>
      </c>
      <c r="H804" s="25" t="str">
        <f>IF($E804="","",ROUND(IF(Inputs!$B$12="Daily Simple Interest",$E804*Inputs!$B$6/Inputs!$B$17*$D804,$E804*Inputs!$B$6/Inputs!$B$20),2))</f>
        <v/>
      </c>
      <c r="I804" s="25" t="str">
        <f t="shared" si="120"/>
        <v/>
      </c>
      <c r="J804" s="25" t="str">
        <f>IF($E804="","",IF($F804+$G804&gt;0,Inputs!$B$11,0))</f>
        <v/>
      </c>
      <c r="K804" s="25" t="str">
        <f t="shared" si="121"/>
        <v/>
      </c>
      <c r="L804" s="25" t="str">
        <f t="shared" si="122"/>
        <v/>
      </c>
      <c r="M804" s="25" t="str">
        <f t="shared" si="123"/>
        <v/>
      </c>
      <c r="N804" s="84" t="str">
        <f t="shared" si="124"/>
        <v/>
      </c>
      <c r="O804" s="23" t="str">
        <f t="shared" si="125"/>
        <v/>
      </c>
    </row>
    <row r="805" spans="1:15" ht="20" customHeight="1">
      <c r="A805" s="22" t="str">
        <f t="shared" si="117"/>
        <v/>
      </c>
      <c r="B805" s="23" t="str">
        <f>IF($E805="","",119)</f>
        <v/>
      </c>
      <c r="C805" s="24" t="str">
        <f>IF($E805="","",Inputs!$B$9+(118*Inputs!$B$21))</f>
        <v/>
      </c>
      <c r="D805" s="23" t="str">
        <f t="shared" si="118"/>
        <v/>
      </c>
      <c r="E805" s="25" t="str">
        <f t="shared" si="119"/>
        <v/>
      </c>
      <c r="F805" s="25" t="str">
        <f>IF($E805="","",ROUND(MIN(Comparison!$D$5,MAX(0,$E805+$H805)),2))</f>
        <v/>
      </c>
      <c r="G805" s="25" t="str">
        <f>IF($E805="","",ROUND(MIN(Inputs!$B$10,MAX(0,$E805+$H805-$F805)),2))</f>
        <v/>
      </c>
      <c r="H805" s="25" t="str">
        <f>IF($E805="","",ROUND(IF(Inputs!$B$12="Daily Simple Interest",$E805*Inputs!$B$6/Inputs!$B$17*$D805,$E805*Inputs!$B$6/Inputs!$B$20),2))</f>
        <v/>
      </c>
      <c r="I805" s="25" t="str">
        <f t="shared" si="120"/>
        <v/>
      </c>
      <c r="J805" s="25" t="str">
        <f>IF($E805="","",IF($F805+$G805&gt;0,Inputs!$B$11,0))</f>
        <v/>
      </c>
      <c r="K805" s="25" t="str">
        <f t="shared" si="121"/>
        <v/>
      </c>
      <c r="L805" s="25" t="str">
        <f t="shared" si="122"/>
        <v/>
      </c>
      <c r="M805" s="25" t="str">
        <f t="shared" si="123"/>
        <v/>
      </c>
      <c r="N805" s="84" t="str">
        <f t="shared" si="124"/>
        <v/>
      </c>
      <c r="O805" s="23" t="str">
        <f t="shared" si="125"/>
        <v/>
      </c>
    </row>
    <row r="806" spans="1:15" ht="20" customHeight="1">
      <c r="A806" s="22" t="str">
        <f t="shared" si="117"/>
        <v/>
      </c>
      <c r="B806" s="23" t="str">
        <f>IF($E806="","",120)</f>
        <v/>
      </c>
      <c r="C806" s="24" t="str">
        <f>IF($E806="","",Inputs!$B$9+(119*Inputs!$B$21))</f>
        <v/>
      </c>
      <c r="D806" s="23" t="str">
        <f t="shared" si="118"/>
        <v/>
      </c>
      <c r="E806" s="25" t="str">
        <f t="shared" si="119"/>
        <v/>
      </c>
      <c r="F806" s="25" t="str">
        <f>IF($E806="","",ROUND(MIN(Comparison!$D$5,MAX(0,$E806+$H806)),2))</f>
        <v/>
      </c>
      <c r="G806" s="25" t="str">
        <f>IF($E806="","",ROUND(MIN(Inputs!$B$10,MAX(0,$E806+$H806-$F806)),2))</f>
        <v/>
      </c>
      <c r="H806" s="25" t="str">
        <f>IF($E806="","",ROUND(IF(Inputs!$B$12="Daily Simple Interest",$E806*Inputs!$B$6/Inputs!$B$17*$D806,$E806*Inputs!$B$6/Inputs!$B$20),2))</f>
        <v/>
      </c>
      <c r="I806" s="25" t="str">
        <f t="shared" si="120"/>
        <v/>
      </c>
      <c r="J806" s="25" t="str">
        <f>IF($E806="","",IF($F806+$G806&gt;0,Inputs!$B$11,0))</f>
        <v/>
      </c>
      <c r="K806" s="25" t="str">
        <f t="shared" si="121"/>
        <v/>
      </c>
      <c r="L806" s="25" t="str">
        <f t="shared" si="122"/>
        <v/>
      </c>
      <c r="M806" s="25" t="str">
        <f t="shared" si="123"/>
        <v/>
      </c>
      <c r="N806" s="84" t="str">
        <f t="shared" si="124"/>
        <v/>
      </c>
      <c r="O806" s="23" t="str">
        <f t="shared" si="125"/>
        <v/>
      </c>
    </row>
    <row r="807" spans="1:15" ht="20" customHeight="1">
      <c r="A807" s="22" t="str">
        <f t="shared" si="117"/>
        <v/>
      </c>
      <c r="B807" s="23" t="str">
        <f>IF($E807="","",121)</f>
        <v/>
      </c>
      <c r="C807" s="24" t="str">
        <f>IF($E807="","",Inputs!$B$9+(120*Inputs!$B$21))</f>
        <v/>
      </c>
      <c r="D807" s="23" t="str">
        <f t="shared" si="118"/>
        <v/>
      </c>
      <c r="E807" s="25" t="str">
        <f t="shared" si="119"/>
        <v/>
      </c>
      <c r="F807" s="25" t="str">
        <f>IF($E807="","",ROUND(MIN(Comparison!$D$5,MAX(0,$E807+$H807)),2))</f>
        <v/>
      </c>
      <c r="G807" s="25" t="str">
        <f>IF($E807="","",ROUND(MIN(Inputs!$B$10,MAX(0,$E807+$H807-$F807)),2))</f>
        <v/>
      </c>
      <c r="H807" s="25" t="str">
        <f>IF($E807="","",ROUND(IF(Inputs!$B$12="Daily Simple Interest",$E807*Inputs!$B$6/Inputs!$B$17*$D807,$E807*Inputs!$B$6/Inputs!$B$20),2))</f>
        <v/>
      </c>
      <c r="I807" s="25" t="str">
        <f t="shared" si="120"/>
        <v/>
      </c>
      <c r="J807" s="25" t="str">
        <f>IF($E807="","",IF($F807+$G807&gt;0,Inputs!$B$11,0))</f>
        <v/>
      </c>
      <c r="K807" s="25" t="str">
        <f t="shared" si="121"/>
        <v/>
      </c>
      <c r="L807" s="25" t="str">
        <f t="shared" si="122"/>
        <v/>
      </c>
      <c r="M807" s="25" t="str">
        <f t="shared" si="123"/>
        <v/>
      </c>
      <c r="N807" s="84" t="str">
        <f t="shared" si="124"/>
        <v/>
      </c>
      <c r="O807" s="23" t="str">
        <f t="shared" si="125"/>
        <v/>
      </c>
    </row>
    <row r="808" spans="1:15" ht="20" customHeight="1">
      <c r="A808" s="22" t="str">
        <f t="shared" si="117"/>
        <v/>
      </c>
      <c r="B808" s="23" t="str">
        <f>IF($E808="","",122)</f>
        <v/>
      </c>
      <c r="C808" s="24" t="str">
        <f>IF($E808="","",Inputs!$B$9+(121*Inputs!$B$21))</f>
        <v/>
      </c>
      <c r="D808" s="23" t="str">
        <f t="shared" si="118"/>
        <v/>
      </c>
      <c r="E808" s="25" t="str">
        <f t="shared" si="119"/>
        <v/>
      </c>
      <c r="F808" s="25" t="str">
        <f>IF($E808="","",ROUND(MIN(Comparison!$D$5,MAX(0,$E808+$H808)),2))</f>
        <v/>
      </c>
      <c r="G808" s="25" t="str">
        <f>IF($E808="","",ROUND(MIN(Inputs!$B$10,MAX(0,$E808+$H808-$F808)),2))</f>
        <v/>
      </c>
      <c r="H808" s="25" t="str">
        <f>IF($E808="","",ROUND(IF(Inputs!$B$12="Daily Simple Interest",$E808*Inputs!$B$6/Inputs!$B$17*$D808,$E808*Inputs!$B$6/Inputs!$B$20),2))</f>
        <v/>
      </c>
      <c r="I808" s="25" t="str">
        <f t="shared" si="120"/>
        <v/>
      </c>
      <c r="J808" s="25" t="str">
        <f>IF($E808="","",IF($F808+$G808&gt;0,Inputs!$B$11,0))</f>
        <v/>
      </c>
      <c r="K808" s="25" t="str">
        <f t="shared" si="121"/>
        <v/>
      </c>
      <c r="L808" s="25" t="str">
        <f t="shared" si="122"/>
        <v/>
      </c>
      <c r="M808" s="25" t="str">
        <f t="shared" si="123"/>
        <v/>
      </c>
      <c r="N808" s="84" t="str">
        <f t="shared" si="124"/>
        <v/>
      </c>
      <c r="O808" s="23" t="str">
        <f t="shared" si="125"/>
        <v/>
      </c>
    </row>
    <row r="809" spans="1:15" ht="20" customHeight="1">
      <c r="A809" s="22" t="str">
        <f t="shared" si="117"/>
        <v/>
      </c>
      <c r="B809" s="23" t="str">
        <f>IF($E809="","",123)</f>
        <v/>
      </c>
      <c r="C809" s="24" t="str">
        <f>IF($E809="","",Inputs!$B$9+(122*Inputs!$B$21))</f>
        <v/>
      </c>
      <c r="D809" s="23" t="str">
        <f t="shared" si="118"/>
        <v/>
      </c>
      <c r="E809" s="25" t="str">
        <f t="shared" si="119"/>
        <v/>
      </c>
      <c r="F809" s="25" t="str">
        <f>IF($E809="","",ROUND(MIN(Comparison!$D$5,MAX(0,$E809+$H809)),2))</f>
        <v/>
      </c>
      <c r="G809" s="25" t="str">
        <f>IF($E809="","",ROUND(MIN(Inputs!$B$10,MAX(0,$E809+$H809-$F809)),2))</f>
        <v/>
      </c>
      <c r="H809" s="25" t="str">
        <f>IF($E809="","",ROUND(IF(Inputs!$B$12="Daily Simple Interest",$E809*Inputs!$B$6/Inputs!$B$17*$D809,$E809*Inputs!$B$6/Inputs!$B$20),2))</f>
        <v/>
      </c>
      <c r="I809" s="25" t="str">
        <f t="shared" si="120"/>
        <v/>
      </c>
      <c r="J809" s="25" t="str">
        <f>IF($E809="","",IF($F809+$G809&gt;0,Inputs!$B$11,0))</f>
        <v/>
      </c>
      <c r="K809" s="25" t="str">
        <f t="shared" si="121"/>
        <v/>
      </c>
      <c r="L809" s="25" t="str">
        <f t="shared" si="122"/>
        <v/>
      </c>
      <c r="M809" s="25" t="str">
        <f t="shared" si="123"/>
        <v/>
      </c>
      <c r="N809" s="84" t="str">
        <f t="shared" si="124"/>
        <v/>
      </c>
      <c r="O809" s="23" t="str">
        <f t="shared" si="125"/>
        <v/>
      </c>
    </row>
    <row r="810" spans="1:15" ht="20" customHeight="1">
      <c r="A810" s="22" t="str">
        <f t="shared" si="117"/>
        <v/>
      </c>
      <c r="B810" s="23" t="str">
        <f>IF($E810="","",124)</f>
        <v/>
      </c>
      <c r="C810" s="24" t="str">
        <f>IF($E810="","",Inputs!$B$9+(123*Inputs!$B$21))</f>
        <v/>
      </c>
      <c r="D810" s="23" t="str">
        <f t="shared" si="118"/>
        <v/>
      </c>
      <c r="E810" s="25" t="str">
        <f t="shared" si="119"/>
        <v/>
      </c>
      <c r="F810" s="25" t="str">
        <f>IF($E810="","",ROUND(MIN(Comparison!$D$5,MAX(0,$E810+$H810)),2))</f>
        <v/>
      </c>
      <c r="G810" s="25" t="str">
        <f>IF($E810="","",ROUND(MIN(Inputs!$B$10,MAX(0,$E810+$H810-$F810)),2))</f>
        <v/>
      </c>
      <c r="H810" s="25" t="str">
        <f>IF($E810="","",ROUND(IF(Inputs!$B$12="Daily Simple Interest",$E810*Inputs!$B$6/Inputs!$B$17*$D810,$E810*Inputs!$B$6/Inputs!$B$20),2))</f>
        <v/>
      </c>
      <c r="I810" s="25" t="str">
        <f t="shared" si="120"/>
        <v/>
      </c>
      <c r="J810" s="25" t="str">
        <f>IF($E810="","",IF($F810+$G810&gt;0,Inputs!$B$11,0))</f>
        <v/>
      </c>
      <c r="K810" s="25" t="str">
        <f t="shared" si="121"/>
        <v/>
      </c>
      <c r="L810" s="25" t="str">
        <f t="shared" si="122"/>
        <v/>
      </c>
      <c r="M810" s="25" t="str">
        <f t="shared" si="123"/>
        <v/>
      </c>
      <c r="N810" s="84" t="str">
        <f t="shared" si="124"/>
        <v/>
      </c>
      <c r="O810" s="23" t="str">
        <f t="shared" si="125"/>
        <v/>
      </c>
    </row>
    <row r="811" spans="1:15" ht="20" customHeight="1">
      <c r="A811" s="22" t="str">
        <f t="shared" si="117"/>
        <v/>
      </c>
      <c r="B811" s="23" t="str">
        <f>IF($E811="","",125)</f>
        <v/>
      </c>
      <c r="C811" s="24" t="str">
        <f>IF($E811="","",Inputs!$B$9+(124*Inputs!$B$21))</f>
        <v/>
      </c>
      <c r="D811" s="23" t="str">
        <f t="shared" si="118"/>
        <v/>
      </c>
      <c r="E811" s="25" t="str">
        <f t="shared" si="119"/>
        <v/>
      </c>
      <c r="F811" s="25" t="str">
        <f>IF($E811="","",ROUND(MIN(Comparison!$D$5,MAX(0,$E811+$H811)),2))</f>
        <v/>
      </c>
      <c r="G811" s="25" t="str">
        <f>IF($E811="","",ROUND(MIN(Inputs!$B$10,MAX(0,$E811+$H811-$F811)),2))</f>
        <v/>
      </c>
      <c r="H811" s="25" t="str">
        <f>IF($E811="","",ROUND(IF(Inputs!$B$12="Daily Simple Interest",$E811*Inputs!$B$6/Inputs!$B$17*$D811,$E811*Inputs!$B$6/Inputs!$B$20),2))</f>
        <v/>
      </c>
      <c r="I811" s="25" t="str">
        <f t="shared" si="120"/>
        <v/>
      </c>
      <c r="J811" s="25" t="str">
        <f>IF($E811="","",IF($F811+$G811&gt;0,Inputs!$B$11,0))</f>
        <v/>
      </c>
      <c r="K811" s="25" t="str">
        <f t="shared" si="121"/>
        <v/>
      </c>
      <c r="L811" s="25" t="str">
        <f t="shared" si="122"/>
        <v/>
      </c>
      <c r="M811" s="25" t="str">
        <f t="shared" si="123"/>
        <v/>
      </c>
      <c r="N811" s="84" t="str">
        <f t="shared" si="124"/>
        <v/>
      </c>
      <c r="O811" s="23" t="str">
        <f t="shared" si="125"/>
        <v/>
      </c>
    </row>
    <row r="812" spans="1:15" ht="20" customHeight="1">
      <c r="A812" s="22" t="str">
        <f t="shared" si="117"/>
        <v/>
      </c>
      <c r="B812" s="23" t="str">
        <f>IF($E812="","",126)</f>
        <v/>
      </c>
      <c r="C812" s="24" t="str">
        <f>IF($E812="","",Inputs!$B$9+(125*Inputs!$B$21))</f>
        <v/>
      </c>
      <c r="D812" s="23" t="str">
        <f t="shared" si="118"/>
        <v/>
      </c>
      <c r="E812" s="25" t="str">
        <f t="shared" si="119"/>
        <v/>
      </c>
      <c r="F812" s="25" t="str">
        <f>IF($E812="","",ROUND(MIN(Comparison!$D$5,MAX(0,$E812+$H812)),2))</f>
        <v/>
      </c>
      <c r="G812" s="25" t="str">
        <f>IF($E812="","",ROUND(MIN(Inputs!$B$10,MAX(0,$E812+$H812-$F812)),2))</f>
        <v/>
      </c>
      <c r="H812" s="25" t="str">
        <f>IF($E812="","",ROUND(IF(Inputs!$B$12="Daily Simple Interest",$E812*Inputs!$B$6/Inputs!$B$17*$D812,$E812*Inputs!$B$6/Inputs!$B$20),2))</f>
        <v/>
      </c>
      <c r="I812" s="25" t="str">
        <f t="shared" si="120"/>
        <v/>
      </c>
      <c r="J812" s="25" t="str">
        <f>IF($E812="","",IF($F812+$G812&gt;0,Inputs!$B$11,0))</f>
        <v/>
      </c>
      <c r="K812" s="25" t="str">
        <f t="shared" si="121"/>
        <v/>
      </c>
      <c r="L812" s="25" t="str">
        <f t="shared" si="122"/>
        <v/>
      </c>
      <c r="M812" s="25" t="str">
        <f t="shared" si="123"/>
        <v/>
      </c>
      <c r="N812" s="84" t="str">
        <f t="shared" si="124"/>
        <v/>
      </c>
      <c r="O812" s="23" t="str">
        <f t="shared" si="125"/>
        <v/>
      </c>
    </row>
    <row r="813" spans="1:15" ht="20" customHeight="1">
      <c r="A813" s="22" t="str">
        <f t="shared" si="117"/>
        <v/>
      </c>
      <c r="B813" s="23" t="str">
        <f>IF($E813="","",127)</f>
        <v/>
      </c>
      <c r="C813" s="24" t="str">
        <f>IF($E813="","",Inputs!$B$9+(126*Inputs!$B$21))</f>
        <v/>
      </c>
      <c r="D813" s="23" t="str">
        <f t="shared" si="118"/>
        <v/>
      </c>
      <c r="E813" s="25" t="str">
        <f t="shared" si="119"/>
        <v/>
      </c>
      <c r="F813" s="25" t="str">
        <f>IF($E813="","",ROUND(MIN(Comparison!$D$5,MAX(0,$E813+$H813)),2))</f>
        <v/>
      </c>
      <c r="G813" s="25" t="str">
        <f>IF($E813="","",ROUND(MIN(Inputs!$B$10,MAX(0,$E813+$H813-$F813)),2))</f>
        <v/>
      </c>
      <c r="H813" s="25" t="str">
        <f>IF($E813="","",ROUND(IF(Inputs!$B$12="Daily Simple Interest",$E813*Inputs!$B$6/Inputs!$B$17*$D813,$E813*Inputs!$B$6/Inputs!$B$20),2))</f>
        <v/>
      </c>
      <c r="I813" s="25" t="str">
        <f t="shared" si="120"/>
        <v/>
      </c>
      <c r="J813" s="25" t="str">
        <f>IF($E813="","",IF($F813+$G813&gt;0,Inputs!$B$11,0))</f>
        <v/>
      </c>
      <c r="K813" s="25" t="str">
        <f t="shared" si="121"/>
        <v/>
      </c>
      <c r="L813" s="25" t="str">
        <f t="shared" si="122"/>
        <v/>
      </c>
      <c r="M813" s="25" t="str">
        <f t="shared" si="123"/>
        <v/>
      </c>
      <c r="N813" s="84" t="str">
        <f t="shared" si="124"/>
        <v/>
      </c>
      <c r="O813" s="23" t="str">
        <f t="shared" si="125"/>
        <v/>
      </c>
    </row>
    <row r="814" spans="1:15" ht="20" customHeight="1">
      <c r="A814" s="22" t="str">
        <f t="shared" si="117"/>
        <v/>
      </c>
      <c r="B814" s="23" t="str">
        <f>IF($E814="","",128)</f>
        <v/>
      </c>
      <c r="C814" s="24" t="str">
        <f>IF($E814="","",Inputs!$B$9+(127*Inputs!$B$21))</f>
        <v/>
      </c>
      <c r="D814" s="23" t="str">
        <f t="shared" si="118"/>
        <v/>
      </c>
      <c r="E814" s="25" t="str">
        <f t="shared" si="119"/>
        <v/>
      </c>
      <c r="F814" s="25" t="str">
        <f>IF($E814="","",ROUND(MIN(Comparison!$D$5,MAX(0,$E814+$H814)),2))</f>
        <v/>
      </c>
      <c r="G814" s="25" t="str">
        <f>IF($E814="","",ROUND(MIN(Inputs!$B$10,MAX(0,$E814+$H814-$F814)),2))</f>
        <v/>
      </c>
      <c r="H814" s="25" t="str">
        <f>IF($E814="","",ROUND(IF(Inputs!$B$12="Daily Simple Interest",$E814*Inputs!$B$6/Inputs!$B$17*$D814,$E814*Inputs!$B$6/Inputs!$B$20),2))</f>
        <v/>
      </c>
      <c r="I814" s="25" t="str">
        <f t="shared" si="120"/>
        <v/>
      </c>
      <c r="J814" s="25" t="str">
        <f>IF($E814="","",IF($F814+$G814&gt;0,Inputs!$B$11,0))</f>
        <v/>
      </c>
      <c r="K814" s="25" t="str">
        <f t="shared" si="121"/>
        <v/>
      </c>
      <c r="L814" s="25" t="str">
        <f t="shared" si="122"/>
        <v/>
      </c>
      <c r="M814" s="25" t="str">
        <f t="shared" si="123"/>
        <v/>
      </c>
      <c r="N814" s="84" t="str">
        <f t="shared" si="124"/>
        <v/>
      </c>
      <c r="O814" s="23" t="str">
        <f t="shared" si="125"/>
        <v/>
      </c>
    </row>
    <row r="815" spans="1:15" ht="20" customHeight="1">
      <c r="A815" s="22" t="str">
        <f t="shared" ref="A815:A878" si="126">IF($E815="","","True Biweekly")</f>
        <v/>
      </c>
      <c r="B815" s="23" t="str">
        <f>IF($E815="","",129)</f>
        <v/>
      </c>
      <c r="C815" s="24" t="str">
        <f>IF($E815="","",Inputs!$B$9+(128*Inputs!$B$21))</f>
        <v/>
      </c>
      <c r="D815" s="23" t="str">
        <f t="shared" si="118"/>
        <v/>
      </c>
      <c r="E815" s="25" t="str">
        <f t="shared" si="119"/>
        <v/>
      </c>
      <c r="F815" s="25" t="str">
        <f>IF($E815="","",ROUND(MIN(Comparison!$D$5,MAX(0,$E815+$H815)),2))</f>
        <v/>
      </c>
      <c r="G815" s="25" t="str">
        <f>IF($E815="","",ROUND(MIN(Inputs!$B$10,MAX(0,$E815+$H815-$F815)),2))</f>
        <v/>
      </c>
      <c r="H815" s="25" t="str">
        <f>IF($E815="","",ROUND(IF(Inputs!$B$12="Daily Simple Interest",$E815*Inputs!$B$6/Inputs!$B$17*$D815,$E815*Inputs!$B$6/Inputs!$B$20),2))</f>
        <v/>
      </c>
      <c r="I815" s="25" t="str">
        <f t="shared" si="120"/>
        <v/>
      </c>
      <c r="J815" s="25" t="str">
        <f>IF($E815="","",IF($F815+$G815&gt;0,Inputs!$B$11,0))</f>
        <v/>
      </c>
      <c r="K815" s="25" t="str">
        <f t="shared" si="121"/>
        <v/>
      </c>
      <c r="L815" s="25" t="str">
        <f t="shared" si="122"/>
        <v/>
      </c>
      <c r="M815" s="25" t="str">
        <f t="shared" si="123"/>
        <v/>
      </c>
      <c r="N815" s="84" t="str">
        <f t="shared" si="124"/>
        <v/>
      </c>
      <c r="O815" s="23" t="str">
        <f t="shared" si="125"/>
        <v/>
      </c>
    </row>
    <row r="816" spans="1:15" ht="20" customHeight="1">
      <c r="A816" s="22" t="str">
        <f t="shared" si="126"/>
        <v/>
      </c>
      <c r="B816" s="23" t="str">
        <f>IF($E816="","",130)</f>
        <v/>
      </c>
      <c r="C816" s="24" t="str">
        <f>IF($E816="","",Inputs!$B$9+(129*Inputs!$B$21))</f>
        <v/>
      </c>
      <c r="D816" s="23" t="str">
        <f t="shared" ref="D816:D879" si="127">IF($E816="","",$C816-$C815)</f>
        <v/>
      </c>
      <c r="E816" s="25" t="str">
        <f t="shared" ref="E816:E879" si="128">IF($K815&gt;0.005,$K815,"")</f>
        <v/>
      </c>
      <c r="F816" s="25" t="str">
        <f>IF($E816="","",ROUND(MIN(Comparison!$D$5,MAX(0,$E816+$H816)),2))</f>
        <v/>
      </c>
      <c r="G816" s="25" t="str">
        <f>IF($E816="","",ROUND(MIN(Inputs!$B$10,MAX(0,$E816+$H816-$F816)),2))</f>
        <v/>
      </c>
      <c r="H816" s="25" t="str">
        <f>IF($E816="","",ROUND(IF(Inputs!$B$12="Daily Simple Interest",$E816*Inputs!$B$6/Inputs!$B$17*$D816,$E816*Inputs!$B$6/Inputs!$B$20),2))</f>
        <v/>
      </c>
      <c r="I816" s="25" t="str">
        <f t="shared" si="120"/>
        <v/>
      </c>
      <c r="J816" s="25" t="str">
        <f>IF($E816="","",IF($F816+$G816&gt;0,Inputs!$B$11,0))</f>
        <v/>
      </c>
      <c r="K816" s="25" t="str">
        <f t="shared" si="121"/>
        <v/>
      </c>
      <c r="L816" s="25" t="str">
        <f t="shared" si="122"/>
        <v/>
      </c>
      <c r="M816" s="25" t="str">
        <f t="shared" si="123"/>
        <v/>
      </c>
      <c r="N816" s="84" t="str">
        <f t="shared" si="124"/>
        <v/>
      </c>
      <c r="O816" s="23" t="str">
        <f t="shared" si="125"/>
        <v/>
      </c>
    </row>
    <row r="817" spans="1:15" ht="20" customHeight="1">
      <c r="A817" s="22" t="str">
        <f t="shared" si="126"/>
        <v/>
      </c>
      <c r="B817" s="23" t="str">
        <f>IF($E817="","",131)</f>
        <v/>
      </c>
      <c r="C817" s="24" t="str">
        <f>IF($E817="","",Inputs!$B$9+(130*Inputs!$B$21))</f>
        <v/>
      </c>
      <c r="D817" s="23" t="str">
        <f t="shared" si="127"/>
        <v/>
      </c>
      <c r="E817" s="25" t="str">
        <f t="shared" si="128"/>
        <v/>
      </c>
      <c r="F817" s="25" t="str">
        <f>IF($E817="","",ROUND(MIN(Comparison!$D$5,MAX(0,$E817+$H817)),2))</f>
        <v/>
      </c>
      <c r="G817" s="25" t="str">
        <f>IF($E817="","",ROUND(MIN(Inputs!$B$10,MAX(0,$E817+$H817-$F817)),2))</f>
        <v/>
      </c>
      <c r="H817" s="25" t="str">
        <f>IF($E817="","",ROUND(IF(Inputs!$B$12="Daily Simple Interest",$E817*Inputs!$B$6/Inputs!$B$17*$D817,$E817*Inputs!$B$6/Inputs!$B$20),2))</f>
        <v/>
      </c>
      <c r="I817" s="25" t="str">
        <f t="shared" si="120"/>
        <v/>
      </c>
      <c r="J817" s="25" t="str">
        <f>IF($E817="","",IF($F817+$G817&gt;0,Inputs!$B$11,0))</f>
        <v/>
      </c>
      <c r="K817" s="25" t="str">
        <f t="shared" si="121"/>
        <v/>
      </c>
      <c r="L817" s="25" t="str">
        <f t="shared" si="122"/>
        <v/>
      </c>
      <c r="M817" s="25" t="str">
        <f t="shared" si="123"/>
        <v/>
      </c>
      <c r="N817" s="84" t="str">
        <f t="shared" si="124"/>
        <v/>
      </c>
      <c r="O817" s="23" t="str">
        <f t="shared" si="125"/>
        <v/>
      </c>
    </row>
    <row r="818" spans="1:15" ht="20" customHeight="1">
      <c r="A818" s="22" t="str">
        <f t="shared" si="126"/>
        <v/>
      </c>
      <c r="B818" s="23" t="str">
        <f>IF($E818="","",132)</f>
        <v/>
      </c>
      <c r="C818" s="24" t="str">
        <f>IF($E818="","",Inputs!$B$9+(131*Inputs!$B$21))</f>
        <v/>
      </c>
      <c r="D818" s="23" t="str">
        <f t="shared" si="127"/>
        <v/>
      </c>
      <c r="E818" s="25" t="str">
        <f t="shared" si="128"/>
        <v/>
      </c>
      <c r="F818" s="25" t="str">
        <f>IF($E818="","",ROUND(MIN(Comparison!$D$5,MAX(0,$E818+$H818)),2))</f>
        <v/>
      </c>
      <c r="G818" s="25" t="str">
        <f>IF($E818="","",ROUND(MIN(Inputs!$B$10,MAX(0,$E818+$H818-$F818)),2))</f>
        <v/>
      </c>
      <c r="H818" s="25" t="str">
        <f>IF($E818="","",ROUND(IF(Inputs!$B$12="Daily Simple Interest",$E818*Inputs!$B$6/Inputs!$B$17*$D818,$E818*Inputs!$B$6/Inputs!$B$20),2))</f>
        <v/>
      </c>
      <c r="I818" s="25" t="str">
        <f t="shared" si="120"/>
        <v/>
      </c>
      <c r="J818" s="25" t="str">
        <f>IF($E818="","",IF($F818+$G818&gt;0,Inputs!$B$11,0))</f>
        <v/>
      </c>
      <c r="K818" s="25" t="str">
        <f t="shared" si="121"/>
        <v/>
      </c>
      <c r="L818" s="25" t="str">
        <f t="shared" si="122"/>
        <v/>
      </c>
      <c r="M818" s="25" t="str">
        <f t="shared" si="123"/>
        <v/>
      </c>
      <c r="N818" s="84" t="str">
        <f t="shared" si="124"/>
        <v/>
      </c>
      <c r="O818" s="23" t="str">
        <f t="shared" si="125"/>
        <v/>
      </c>
    </row>
    <row r="819" spans="1:15" ht="20" customHeight="1">
      <c r="A819" s="22" t="str">
        <f t="shared" si="126"/>
        <v/>
      </c>
      <c r="B819" s="23" t="str">
        <f>IF($E819="","",133)</f>
        <v/>
      </c>
      <c r="C819" s="24" t="str">
        <f>IF($E819="","",Inputs!$B$9+(132*Inputs!$B$21))</f>
        <v/>
      </c>
      <c r="D819" s="23" t="str">
        <f t="shared" si="127"/>
        <v/>
      </c>
      <c r="E819" s="25" t="str">
        <f t="shared" si="128"/>
        <v/>
      </c>
      <c r="F819" s="25" t="str">
        <f>IF($E819="","",ROUND(MIN(Comparison!$D$5,MAX(0,$E819+$H819)),2))</f>
        <v/>
      </c>
      <c r="G819" s="25" t="str">
        <f>IF($E819="","",ROUND(MIN(Inputs!$B$10,MAX(0,$E819+$H819-$F819)),2))</f>
        <v/>
      </c>
      <c r="H819" s="25" t="str">
        <f>IF($E819="","",ROUND(IF(Inputs!$B$12="Daily Simple Interest",$E819*Inputs!$B$6/Inputs!$B$17*$D819,$E819*Inputs!$B$6/Inputs!$B$20),2))</f>
        <v/>
      </c>
      <c r="I819" s="25" t="str">
        <f t="shared" si="120"/>
        <v/>
      </c>
      <c r="J819" s="25" t="str">
        <f>IF($E819="","",IF($F819+$G819&gt;0,Inputs!$B$11,0))</f>
        <v/>
      </c>
      <c r="K819" s="25" t="str">
        <f t="shared" si="121"/>
        <v/>
      </c>
      <c r="L819" s="25" t="str">
        <f t="shared" si="122"/>
        <v/>
      </c>
      <c r="M819" s="25" t="str">
        <f t="shared" si="123"/>
        <v/>
      </c>
      <c r="N819" s="84" t="str">
        <f t="shared" si="124"/>
        <v/>
      </c>
      <c r="O819" s="23" t="str">
        <f t="shared" si="125"/>
        <v/>
      </c>
    </row>
    <row r="820" spans="1:15" ht="20" customHeight="1">
      <c r="A820" s="22" t="str">
        <f t="shared" si="126"/>
        <v/>
      </c>
      <c r="B820" s="23" t="str">
        <f>IF($E820="","",134)</f>
        <v/>
      </c>
      <c r="C820" s="24" t="str">
        <f>IF($E820="","",Inputs!$B$9+(133*Inputs!$B$21))</f>
        <v/>
      </c>
      <c r="D820" s="23" t="str">
        <f t="shared" si="127"/>
        <v/>
      </c>
      <c r="E820" s="25" t="str">
        <f t="shared" si="128"/>
        <v/>
      </c>
      <c r="F820" s="25" t="str">
        <f>IF($E820="","",ROUND(MIN(Comparison!$D$5,MAX(0,$E820+$H820)),2))</f>
        <v/>
      </c>
      <c r="G820" s="25" t="str">
        <f>IF($E820="","",ROUND(MIN(Inputs!$B$10,MAX(0,$E820+$H820-$F820)),2))</f>
        <v/>
      </c>
      <c r="H820" s="25" t="str">
        <f>IF($E820="","",ROUND(IF(Inputs!$B$12="Daily Simple Interest",$E820*Inputs!$B$6/Inputs!$B$17*$D820,$E820*Inputs!$B$6/Inputs!$B$20),2))</f>
        <v/>
      </c>
      <c r="I820" s="25" t="str">
        <f t="shared" si="120"/>
        <v/>
      </c>
      <c r="J820" s="25" t="str">
        <f>IF($E820="","",IF($F820+$G820&gt;0,Inputs!$B$11,0))</f>
        <v/>
      </c>
      <c r="K820" s="25" t="str">
        <f t="shared" si="121"/>
        <v/>
      </c>
      <c r="L820" s="25" t="str">
        <f t="shared" si="122"/>
        <v/>
      </c>
      <c r="M820" s="25" t="str">
        <f t="shared" si="123"/>
        <v/>
      </c>
      <c r="N820" s="84" t="str">
        <f t="shared" si="124"/>
        <v/>
      </c>
      <c r="O820" s="23" t="str">
        <f t="shared" si="125"/>
        <v/>
      </c>
    </row>
    <row r="821" spans="1:15" ht="20" customHeight="1">
      <c r="A821" s="22" t="str">
        <f t="shared" si="126"/>
        <v/>
      </c>
      <c r="B821" s="23" t="str">
        <f>IF($E821="","",135)</f>
        <v/>
      </c>
      <c r="C821" s="24" t="str">
        <f>IF($E821="","",Inputs!$B$9+(134*Inputs!$B$21))</f>
        <v/>
      </c>
      <c r="D821" s="23" t="str">
        <f t="shared" si="127"/>
        <v/>
      </c>
      <c r="E821" s="25" t="str">
        <f t="shared" si="128"/>
        <v/>
      </c>
      <c r="F821" s="25" t="str">
        <f>IF($E821="","",ROUND(MIN(Comparison!$D$5,MAX(0,$E821+$H821)),2))</f>
        <v/>
      </c>
      <c r="G821" s="25" t="str">
        <f>IF($E821="","",ROUND(MIN(Inputs!$B$10,MAX(0,$E821+$H821-$F821)),2))</f>
        <v/>
      </c>
      <c r="H821" s="25" t="str">
        <f>IF($E821="","",ROUND(IF(Inputs!$B$12="Daily Simple Interest",$E821*Inputs!$B$6/Inputs!$B$17*$D821,$E821*Inputs!$B$6/Inputs!$B$20),2))</f>
        <v/>
      </c>
      <c r="I821" s="25" t="str">
        <f t="shared" si="120"/>
        <v/>
      </c>
      <c r="J821" s="25" t="str">
        <f>IF($E821="","",IF($F821+$G821&gt;0,Inputs!$B$11,0))</f>
        <v/>
      </c>
      <c r="K821" s="25" t="str">
        <f t="shared" si="121"/>
        <v/>
      </c>
      <c r="L821" s="25" t="str">
        <f t="shared" si="122"/>
        <v/>
      </c>
      <c r="M821" s="25" t="str">
        <f t="shared" si="123"/>
        <v/>
      </c>
      <c r="N821" s="84" t="str">
        <f t="shared" si="124"/>
        <v/>
      </c>
      <c r="O821" s="23" t="str">
        <f t="shared" si="125"/>
        <v/>
      </c>
    </row>
    <row r="822" spans="1:15" ht="20" customHeight="1">
      <c r="A822" s="22" t="str">
        <f t="shared" si="126"/>
        <v/>
      </c>
      <c r="B822" s="23" t="str">
        <f>IF($E822="","",136)</f>
        <v/>
      </c>
      <c r="C822" s="24" t="str">
        <f>IF($E822="","",Inputs!$B$9+(135*Inputs!$B$21))</f>
        <v/>
      </c>
      <c r="D822" s="23" t="str">
        <f t="shared" si="127"/>
        <v/>
      </c>
      <c r="E822" s="25" t="str">
        <f t="shared" si="128"/>
        <v/>
      </c>
      <c r="F822" s="25" t="str">
        <f>IF($E822="","",ROUND(MIN(Comparison!$D$5,MAX(0,$E822+$H822)),2))</f>
        <v/>
      </c>
      <c r="G822" s="25" t="str">
        <f>IF($E822="","",ROUND(MIN(Inputs!$B$10,MAX(0,$E822+$H822-$F822)),2))</f>
        <v/>
      </c>
      <c r="H822" s="25" t="str">
        <f>IF($E822="","",ROUND(IF(Inputs!$B$12="Daily Simple Interest",$E822*Inputs!$B$6/Inputs!$B$17*$D822,$E822*Inputs!$B$6/Inputs!$B$20),2))</f>
        <v/>
      </c>
      <c r="I822" s="25" t="str">
        <f t="shared" si="120"/>
        <v/>
      </c>
      <c r="J822" s="25" t="str">
        <f>IF($E822="","",IF($F822+$G822&gt;0,Inputs!$B$11,0))</f>
        <v/>
      </c>
      <c r="K822" s="25" t="str">
        <f t="shared" si="121"/>
        <v/>
      </c>
      <c r="L822" s="25" t="str">
        <f t="shared" si="122"/>
        <v/>
      </c>
      <c r="M822" s="25" t="str">
        <f t="shared" si="123"/>
        <v/>
      </c>
      <c r="N822" s="84" t="str">
        <f t="shared" si="124"/>
        <v/>
      </c>
      <c r="O822" s="23" t="str">
        <f t="shared" si="125"/>
        <v/>
      </c>
    </row>
    <row r="823" spans="1:15" ht="20" customHeight="1">
      <c r="A823" s="22" t="str">
        <f t="shared" si="126"/>
        <v/>
      </c>
      <c r="B823" s="23" t="str">
        <f>IF($E823="","",137)</f>
        <v/>
      </c>
      <c r="C823" s="24" t="str">
        <f>IF($E823="","",Inputs!$B$9+(136*Inputs!$B$21))</f>
        <v/>
      </c>
      <c r="D823" s="23" t="str">
        <f t="shared" si="127"/>
        <v/>
      </c>
      <c r="E823" s="25" t="str">
        <f t="shared" si="128"/>
        <v/>
      </c>
      <c r="F823" s="25" t="str">
        <f>IF($E823="","",ROUND(MIN(Comparison!$D$5,MAX(0,$E823+$H823)),2))</f>
        <v/>
      </c>
      <c r="G823" s="25" t="str">
        <f>IF($E823="","",ROUND(MIN(Inputs!$B$10,MAX(0,$E823+$H823-$F823)),2))</f>
        <v/>
      </c>
      <c r="H823" s="25" t="str">
        <f>IF($E823="","",ROUND(IF(Inputs!$B$12="Daily Simple Interest",$E823*Inputs!$B$6/Inputs!$B$17*$D823,$E823*Inputs!$B$6/Inputs!$B$20),2))</f>
        <v/>
      </c>
      <c r="I823" s="25" t="str">
        <f t="shared" si="120"/>
        <v/>
      </c>
      <c r="J823" s="25" t="str">
        <f>IF($E823="","",IF($F823+$G823&gt;0,Inputs!$B$11,0))</f>
        <v/>
      </c>
      <c r="K823" s="25" t="str">
        <f t="shared" si="121"/>
        <v/>
      </c>
      <c r="L823" s="25" t="str">
        <f t="shared" si="122"/>
        <v/>
      </c>
      <c r="M823" s="25" t="str">
        <f t="shared" si="123"/>
        <v/>
      </c>
      <c r="N823" s="84" t="str">
        <f t="shared" si="124"/>
        <v/>
      </c>
      <c r="O823" s="23" t="str">
        <f t="shared" si="125"/>
        <v/>
      </c>
    </row>
    <row r="824" spans="1:15" ht="20" customHeight="1">
      <c r="A824" s="22" t="str">
        <f t="shared" si="126"/>
        <v/>
      </c>
      <c r="B824" s="23" t="str">
        <f>IF($E824="","",138)</f>
        <v/>
      </c>
      <c r="C824" s="24" t="str">
        <f>IF($E824="","",Inputs!$B$9+(137*Inputs!$B$21))</f>
        <v/>
      </c>
      <c r="D824" s="23" t="str">
        <f t="shared" si="127"/>
        <v/>
      </c>
      <c r="E824" s="25" t="str">
        <f t="shared" si="128"/>
        <v/>
      </c>
      <c r="F824" s="25" t="str">
        <f>IF($E824="","",ROUND(MIN(Comparison!$D$5,MAX(0,$E824+$H824)),2))</f>
        <v/>
      </c>
      <c r="G824" s="25" t="str">
        <f>IF($E824="","",ROUND(MIN(Inputs!$B$10,MAX(0,$E824+$H824-$F824)),2))</f>
        <v/>
      </c>
      <c r="H824" s="25" t="str">
        <f>IF($E824="","",ROUND(IF(Inputs!$B$12="Daily Simple Interest",$E824*Inputs!$B$6/Inputs!$B$17*$D824,$E824*Inputs!$B$6/Inputs!$B$20),2))</f>
        <v/>
      </c>
      <c r="I824" s="25" t="str">
        <f t="shared" si="120"/>
        <v/>
      </c>
      <c r="J824" s="25" t="str">
        <f>IF($E824="","",IF($F824+$G824&gt;0,Inputs!$B$11,0))</f>
        <v/>
      </c>
      <c r="K824" s="25" t="str">
        <f t="shared" si="121"/>
        <v/>
      </c>
      <c r="L824" s="25" t="str">
        <f t="shared" si="122"/>
        <v/>
      </c>
      <c r="M824" s="25" t="str">
        <f t="shared" si="123"/>
        <v/>
      </c>
      <c r="N824" s="84" t="str">
        <f t="shared" si="124"/>
        <v/>
      </c>
      <c r="O824" s="23" t="str">
        <f t="shared" si="125"/>
        <v/>
      </c>
    </row>
    <row r="825" spans="1:15" ht="20" customHeight="1">
      <c r="A825" s="22" t="str">
        <f t="shared" si="126"/>
        <v/>
      </c>
      <c r="B825" s="23" t="str">
        <f>IF($E825="","",139)</f>
        <v/>
      </c>
      <c r="C825" s="24" t="str">
        <f>IF($E825="","",Inputs!$B$9+(138*Inputs!$B$21))</f>
        <v/>
      </c>
      <c r="D825" s="23" t="str">
        <f t="shared" si="127"/>
        <v/>
      </c>
      <c r="E825" s="25" t="str">
        <f t="shared" si="128"/>
        <v/>
      </c>
      <c r="F825" s="25" t="str">
        <f>IF($E825="","",ROUND(MIN(Comparison!$D$5,MAX(0,$E825+$H825)),2))</f>
        <v/>
      </c>
      <c r="G825" s="25" t="str">
        <f>IF($E825="","",ROUND(MIN(Inputs!$B$10,MAX(0,$E825+$H825-$F825)),2))</f>
        <v/>
      </c>
      <c r="H825" s="25" t="str">
        <f>IF($E825="","",ROUND(IF(Inputs!$B$12="Daily Simple Interest",$E825*Inputs!$B$6/Inputs!$B$17*$D825,$E825*Inputs!$B$6/Inputs!$B$20),2))</f>
        <v/>
      </c>
      <c r="I825" s="25" t="str">
        <f t="shared" si="120"/>
        <v/>
      </c>
      <c r="J825" s="25" t="str">
        <f>IF($E825="","",IF($F825+$G825&gt;0,Inputs!$B$11,0))</f>
        <v/>
      </c>
      <c r="K825" s="25" t="str">
        <f t="shared" si="121"/>
        <v/>
      </c>
      <c r="L825" s="25" t="str">
        <f t="shared" si="122"/>
        <v/>
      </c>
      <c r="M825" s="25" t="str">
        <f t="shared" si="123"/>
        <v/>
      </c>
      <c r="N825" s="84" t="str">
        <f t="shared" si="124"/>
        <v/>
      </c>
      <c r="O825" s="23" t="str">
        <f t="shared" si="125"/>
        <v/>
      </c>
    </row>
    <row r="826" spans="1:15" ht="20" customHeight="1">
      <c r="A826" s="22" t="str">
        <f t="shared" si="126"/>
        <v/>
      </c>
      <c r="B826" s="23" t="str">
        <f>IF($E826="","",140)</f>
        <v/>
      </c>
      <c r="C826" s="24" t="str">
        <f>IF($E826="","",Inputs!$B$9+(139*Inputs!$B$21))</f>
        <v/>
      </c>
      <c r="D826" s="23" t="str">
        <f t="shared" si="127"/>
        <v/>
      </c>
      <c r="E826" s="25" t="str">
        <f t="shared" si="128"/>
        <v/>
      </c>
      <c r="F826" s="25" t="str">
        <f>IF($E826="","",ROUND(MIN(Comparison!$D$5,MAX(0,$E826+$H826)),2))</f>
        <v/>
      </c>
      <c r="G826" s="25" t="str">
        <f>IF($E826="","",ROUND(MIN(Inputs!$B$10,MAX(0,$E826+$H826-$F826)),2))</f>
        <v/>
      </c>
      <c r="H826" s="25" t="str">
        <f>IF($E826="","",ROUND(IF(Inputs!$B$12="Daily Simple Interest",$E826*Inputs!$B$6/Inputs!$B$17*$D826,$E826*Inputs!$B$6/Inputs!$B$20),2))</f>
        <v/>
      </c>
      <c r="I826" s="25" t="str">
        <f t="shared" si="120"/>
        <v/>
      </c>
      <c r="J826" s="25" t="str">
        <f>IF($E826="","",IF($F826+$G826&gt;0,Inputs!$B$11,0))</f>
        <v/>
      </c>
      <c r="K826" s="25" t="str">
        <f t="shared" si="121"/>
        <v/>
      </c>
      <c r="L826" s="25" t="str">
        <f t="shared" si="122"/>
        <v/>
      </c>
      <c r="M826" s="25" t="str">
        <f t="shared" si="123"/>
        <v/>
      </c>
      <c r="N826" s="84" t="str">
        <f t="shared" si="124"/>
        <v/>
      </c>
      <c r="O826" s="23" t="str">
        <f t="shared" si="125"/>
        <v/>
      </c>
    </row>
    <row r="827" spans="1:15" ht="20" customHeight="1">
      <c r="A827" s="22" t="str">
        <f t="shared" si="126"/>
        <v/>
      </c>
      <c r="B827" s="23" t="str">
        <f>IF($E827="","",141)</f>
        <v/>
      </c>
      <c r="C827" s="24" t="str">
        <f>IF($E827="","",Inputs!$B$9+(140*Inputs!$B$21))</f>
        <v/>
      </c>
      <c r="D827" s="23" t="str">
        <f t="shared" si="127"/>
        <v/>
      </c>
      <c r="E827" s="25" t="str">
        <f t="shared" si="128"/>
        <v/>
      </c>
      <c r="F827" s="25" t="str">
        <f>IF($E827="","",ROUND(MIN(Comparison!$D$5,MAX(0,$E827+$H827)),2))</f>
        <v/>
      </c>
      <c r="G827" s="25" t="str">
        <f>IF($E827="","",ROUND(MIN(Inputs!$B$10,MAX(0,$E827+$H827-$F827)),2))</f>
        <v/>
      </c>
      <c r="H827" s="25" t="str">
        <f>IF($E827="","",ROUND(IF(Inputs!$B$12="Daily Simple Interest",$E827*Inputs!$B$6/Inputs!$B$17*$D827,$E827*Inputs!$B$6/Inputs!$B$20),2))</f>
        <v/>
      </c>
      <c r="I827" s="25" t="str">
        <f t="shared" si="120"/>
        <v/>
      </c>
      <c r="J827" s="25" t="str">
        <f>IF($E827="","",IF($F827+$G827&gt;0,Inputs!$B$11,0))</f>
        <v/>
      </c>
      <c r="K827" s="25" t="str">
        <f t="shared" si="121"/>
        <v/>
      </c>
      <c r="L827" s="25" t="str">
        <f t="shared" si="122"/>
        <v/>
      </c>
      <c r="M827" s="25" t="str">
        <f t="shared" si="123"/>
        <v/>
      </c>
      <c r="N827" s="84" t="str">
        <f t="shared" si="124"/>
        <v/>
      </c>
      <c r="O827" s="23" t="str">
        <f t="shared" si="125"/>
        <v/>
      </c>
    </row>
    <row r="828" spans="1:15" ht="20" customHeight="1">
      <c r="A828" s="22" t="str">
        <f t="shared" si="126"/>
        <v/>
      </c>
      <c r="B828" s="23" t="str">
        <f>IF($E828="","",142)</f>
        <v/>
      </c>
      <c r="C828" s="24" t="str">
        <f>IF($E828="","",Inputs!$B$9+(141*Inputs!$B$21))</f>
        <v/>
      </c>
      <c r="D828" s="23" t="str">
        <f t="shared" si="127"/>
        <v/>
      </c>
      <c r="E828" s="25" t="str">
        <f t="shared" si="128"/>
        <v/>
      </c>
      <c r="F828" s="25" t="str">
        <f>IF($E828="","",ROUND(MIN(Comparison!$D$5,MAX(0,$E828+$H828)),2))</f>
        <v/>
      </c>
      <c r="G828" s="25" t="str">
        <f>IF($E828="","",ROUND(MIN(Inputs!$B$10,MAX(0,$E828+$H828-$F828)),2))</f>
        <v/>
      </c>
      <c r="H828" s="25" t="str">
        <f>IF($E828="","",ROUND(IF(Inputs!$B$12="Daily Simple Interest",$E828*Inputs!$B$6/Inputs!$B$17*$D828,$E828*Inputs!$B$6/Inputs!$B$20),2))</f>
        <v/>
      </c>
      <c r="I828" s="25" t="str">
        <f t="shared" si="120"/>
        <v/>
      </c>
      <c r="J828" s="25" t="str">
        <f>IF($E828="","",IF($F828+$G828&gt;0,Inputs!$B$11,0))</f>
        <v/>
      </c>
      <c r="K828" s="25" t="str">
        <f t="shared" si="121"/>
        <v/>
      </c>
      <c r="L828" s="25" t="str">
        <f t="shared" si="122"/>
        <v/>
      </c>
      <c r="M828" s="25" t="str">
        <f t="shared" si="123"/>
        <v/>
      </c>
      <c r="N828" s="84" t="str">
        <f t="shared" si="124"/>
        <v/>
      </c>
      <c r="O828" s="23" t="str">
        <f t="shared" si="125"/>
        <v/>
      </c>
    </row>
    <row r="829" spans="1:15" ht="20" customHeight="1">
      <c r="A829" s="22" t="str">
        <f t="shared" si="126"/>
        <v/>
      </c>
      <c r="B829" s="23" t="str">
        <f>IF($E829="","",143)</f>
        <v/>
      </c>
      <c r="C829" s="24" t="str">
        <f>IF($E829="","",Inputs!$B$9+(142*Inputs!$B$21))</f>
        <v/>
      </c>
      <c r="D829" s="23" t="str">
        <f t="shared" si="127"/>
        <v/>
      </c>
      <c r="E829" s="25" t="str">
        <f t="shared" si="128"/>
        <v/>
      </c>
      <c r="F829" s="25" t="str">
        <f>IF($E829="","",ROUND(MIN(Comparison!$D$5,MAX(0,$E829+$H829)),2))</f>
        <v/>
      </c>
      <c r="G829" s="25" t="str">
        <f>IF($E829="","",ROUND(MIN(Inputs!$B$10,MAX(0,$E829+$H829-$F829)),2))</f>
        <v/>
      </c>
      <c r="H829" s="25" t="str">
        <f>IF($E829="","",ROUND(IF(Inputs!$B$12="Daily Simple Interest",$E829*Inputs!$B$6/Inputs!$B$17*$D829,$E829*Inputs!$B$6/Inputs!$B$20),2))</f>
        <v/>
      </c>
      <c r="I829" s="25" t="str">
        <f t="shared" si="120"/>
        <v/>
      </c>
      <c r="J829" s="25" t="str">
        <f>IF($E829="","",IF($F829+$G829&gt;0,Inputs!$B$11,0))</f>
        <v/>
      </c>
      <c r="K829" s="25" t="str">
        <f t="shared" si="121"/>
        <v/>
      </c>
      <c r="L829" s="25" t="str">
        <f t="shared" si="122"/>
        <v/>
      </c>
      <c r="M829" s="25" t="str">
        <f t="shared" si="123"/>
        <v/>
      </c>
      <c r="N829" s="84" t="str">
        <f t="shared" si="124"/>
        <v/>
      </c>
      <c r="O829" s="23" t="str">
        <f t="shared" si="125"/>
        <v/>
      </c>
    </row>
    <row r="830" spans="1:15" ht="20" customHeight="1">
      <c r="A830" s="22" t="str">
        <f t="shared" si="126"/>
        <v/>
      </c>
      <c r="B830" s="23" t="str">
        <f>IF($E830="","",144)</f>
        <v/>
      </c>
      <c r="C830" s="24" t="str">
        <f>IF($E830="","",Inputs!$B$9+(143*Inputs!$B$21))</f>
        <v/>
      </c>
      <c r="D830" s="23" t="str">
        <f t="shared" si="127"/>
        <v/>
      </c>
      <c r="E830" s="25" t="str">
        <f t="shared" si="128"/>
        <v/>
      </c>
      <c r="F830" s="25" t="str">
        <f>IF($E830="","",ROUND(MIN(Comparison!$D$5,MAX(0,$E830+$H830)),2))</f>
        <v/>
      </c>
      <c r="G830" s="25" t="str">
        <f>IF($E830="","",ROUND(MIN(Inputs!$B$10,MAX(0,$E830+$H830-$F830)),2))</f>
        <v/>
      </c>
      <c r="H830" s="25" t="str">
        <f>IF($E830="","",ROUND(IF(Inputs!$B$12="Daily Simple Interest",$E830*Inputs!$B$6/Inputs!$B$17*$D830,$E830*Inputs!$B$6/Inputs!$B$20),2))</f>
        <v/>
      </c>
      <c r="I830" s="25" t="str">
        <f t="shared" si="120"/>
        <v/>
      </c>
      <c r="J830" s="25" t="str">
        <f>IF($E830="","",IF($F830+$G830&gt;0,Inputs!$B$11,0))</f>
        <v/>
      </c>
      <c r="K830" s="25" t="str">
        <f t="shared" si="121"/>
        <v/>
      </c>
      <c r="L830" s="25" t="str">
        <f t="shared" si="122"/>
        <v/>
      </c>
      <c r="M830" s="25" t="str">
        <f t="shared" si="123"/>
        <v/>
      </c>
      <c r="N830" s="84" t="str">
        <f t="shared" si="124"/>
        <v/>
      </c>
      <c r="O830" s="23" t="str">
        <f t="shared" si="125"/>
        <v/>
      </c>
    </row>
    <row r="831" spans="1:15" ht="20" customHeight="1">
      <c r="A831" s="22" t="str">
        <f t="shared" si="126"/>
        <v/>
      </c>
      <c r="B831" s="23" t="str">
        <f>IF($E831="","",145)</f>
        <v/>
      </c>
      <c r="C831" s="24" t="str">
        <f>IF($E831="","",Inputs!$B$9+(144*Inputs!$B$21))</f>
        <v/>
      </c>
      <c r="D831" s="23" t="str">
        <f t="shared" si="127"/>
        <v/>
      </c>
      <c r="E831" s="25" t="str">
        <f t="shared" si="128"/>
        <v/>
      </c>
      <c r="F831" s="25" t="str">
        <f>IF($E831="","",ROUND(MIN(Comparison!$D$5,MAX(0,$E831+$H831)),2))</f>
        <v/>
      </c>
      <c r="G831" s="25" t="str">
        <f>IF($E831="","",ROUND(MIN(Inputs!$B$10,MAX(0,$E831+$H831-$F831)),2))</f>
        <v/>
      </c>
      <c r="H831" s="25" t="str">
        <f>IF($E831="","",ROUND(IF(Inputs!$B$12="Daily Simple Interest",$E831*Inputs!$B$6/Inputs!$B$17*$D831,$E831*Inputs!$B$6/Inputs!$B$20),2))</f>
        <v/>
      </c>
      <c r="I831" s="25" t="str">
        <f t="shared" si="120"/>
        <v/>
      </c>
      <c r="J831" s="25" t="str">
        <f>IF($E831="","",IF($F831+$G831&gt;0,Inputs!$B$11,0))</f>
        <v/>
      </c>
      <c r="K831" s="25" t="str">
        <f t="shared" si="121"/>
        <v/>
      </c>
      <c r="L831" s="25" t="str">
        <f t="shared" si="122"/>
        <v/>
      </c>
      <c r="M831" s="25" t="str">
        <f t="shared" si="123"/>
        <v/>
      </c>
      <c r="N831" s="84" t="str">
        <f t="shared" si="124"/>
        <v/>
      </c>
      <c r="O831" s="23" t="str">
        <f t="shared" si="125"/>
        <v/>
      </c>
    </row>
    <row r="832" spans="1:15" ht="20" customHeight="1">
      <c r="A832" s="22" t="str">
        <f t="shared" si="126"/>
        <v/>
      </c>
      <c r="B832" s="23" t="str">
        <f>IF($E832="","",146)</f>
        <v/>
      </c>
      <c r="C832" s="24" t="str">
        <f>IF($E832="","",Inputs!$B$9+(145*Inputs!$B$21))</f>
        <v/>
      </c>
      <c r="D832" s="23" t="str">
        <f t="shared" si="127"/>
        <v/>
      </c>
      <c r="E832" s="25" t="str">
        <f t="shared" si="128"/>
        <v/>
      </c>
      <c r="F832" s="25" t="str">
        <f>IF($E832="","",ROUND(MIN(Comparison!$D$5,MAX(0,$E832+$H832)),2))</f>
        <v/>
      </c>
      <c r="G832" s="25" t="str">
        <f>IF($E832="","",ROUND(MIN(Inputs!$B$10,MAX(0,$E832+$H832-$F832)),2))</f>
        <v/>
      </c>
      <c r="H832" s="25" t="str">
        <f>IF($E832="","",ROUND(IF(Inputs!$B$12="Daily Simple Interest",$E832*Inputs!$B$6/Inputs!$B$17*$D832,$E832*Inputs!$B$6/Inputs!$B$20),2))</f>
        <v/>
      </c>
      <c r="I832" s="25" t="str">
        <f t="shared" si="120"/>
        <v/>
      </c>
      <c r="J832" s="25" t="str">
        <f>IF($E832="","",IF($F832+$G832&gt;0,Inputs!$B$11,0))</f>
        <v/>
      </c>
      <c r="K832" s="25" t="str">
        <f t="shared" si="121"/>
        <v/>
      </c>
      <c r="L832" s="25" t="str">
        <f t="shared" si="122"/>
        <v/>
      </c>
      <c r="M832" s="25" t="str">
        <f t="shared" si="123"/>
        <v/>
      </c>
      <c r="N832" s="84" t="str">
        <f t="shared" si="124"/>
        <v/>
      </c>
      <c r="O832" s="23" t="str">
        <f t="shared" si="125"/>
        <v/>
      </c>
    </row>
    <row r="833" spans="1:15" ht="20" customHeight="1">
      <c r="A833" s="22" t="str">
        <f t="shared" si="126"/>
        <v/>
      </c>
      <c r="B833" s="23" t="str">
        <f>IF($E833="","",147)</f>
        <v/>
      </c>
      <c r="C833" s="24" t="str">
        <f>IF($E833="","",Inputs!$B$9+(146*Inputs!$B$21))</f>
        <v/>
      </c>
      <c r="D833" s="23" t="str">
        <f t="shared" si="127"/>
        <v/>
      </c>
      <c r="E833" s="25" t="str">
        <f t="shared" si="128"/>
        <v/>
      </c>
      <c r="F833" s="25" t="str">
        <f>IF($E833="","",ROUND(MIN(Comparison!$D$5,MAX(0,$E833+$H833)),2))</f>
        <v/>
      </c>
      <c r="G833" s="25" t="str">
        <f>IF($E833="","",ROUND(MIN(Inputs!$B$10,MAX(0,$E833+$H833-$F833)),2))</f>
        <v/>
      </c>
      <c r="H833" s="25" t="str">
        <f>IF($E833="","",ROUND(IF(Inputs!$B$12="Daily Simple Interest",$E833*Inputs!$B$6/Inputs!$B$17*$D833,$E833*Inputs!$B$6/Inputs!$B$20),2))</f>
        <v/>
      </c>
      <c r="I833" s="25" t="str">
        <f t="shared" si="120"/>
        <v/>
      </c>
      <c r="J833" s="25" t="str">
        <f>IF($E833="","",IF($F833+$G833&gt;0,Inputs!$B$11,0))</f>
        <v/>
      </c>
      <c r="K833" s="25" t="str">
        <f t="shared" si="121"/>
        <v/>
      </c>
      <c r="L833" s="25" t="str">
        <f t="shared" si="122"/>
        <v/>
      </c>
      <c r="M833" s="25" t="str">
        <f t="shared" si="123"/>
        <v/>
      </c>
      <c r="N833" s="84" t="str">
        <f t="shared" si="124"/>
        <v/>
      </c>
      <c r="O833" s="23" t="str">
        <f t="shared" si="125"/>
        <v/>
      </c>
    </row>
    <row r="834" spans="1:15" ht="20" customHeight="1">
      <c r="A834" s="22" t="str">
        <f t="shared" si="126"/>
        <v/>
      </c>
      <c r="B834" s="23" t="str">
        <f>IF($E834="","",148)</f>
        <v/>
      </c>
      <c r="C834" s="24" t="str">
        <f>IF($E834="","",Inputs!$B$9+(147*Inputs!$B$21))</f>
        <v/>
      </c>
      <c r="D834" s="23" t="str">
        <f t="shared" si="127"/>
        <v/>
      </c>
      <c r="E834" s="25" t="str">
        <f t="shared" si="128"/>
        <v/>
      </c>
      <c r="F834" s="25" t="str">
        <f>IF($E834="","",ROUND(MIN(Comparison!$D$5,MAX(0,$E834+$H834)),2))</f>
        <v/>
      </c>
      <c r="G834" s="25" t="str">
        <f>IF($E834="","",ROUND(MIN(Inputs!$B$10,MAX(0,$E834+$H834-$F834)),2))</f>
        <v/>
      </c>
      <c r="H834" s="25" t="str">
        <f>IF($E834="","",ROUND(IF(Inputs!$B$12="Daily Simple Interest",$E834*Inputs!$B$6/Inputs!$B$17*$D834,$E834*Inputs!$B$6/Inputs!$B$20),2))</f>
        <v/>
      </c>
      <c r="I834" s="25" t="str">
        <f t="shared" si="120"/>
        <v/>
      </c>
      <c r="J834" s="25" t="str">
        <f>IF($E834="","",IF($F834+$G834&gt;0,Inputs!$B$11,0))</f>
        <v/>
      </c>
      <c r="K834" s="25" t="str">
        <f t="shared" si="121"/>
        <v/>
      </c>
      <c r="L834" s="25" t="str">
        <f t="shared" si="122"/>
        <v/>
      </c>
      <c r="M834" s="25" t="str">
        <f t="shared" si="123"/>
        <v/>
      </c>
      <c r="N834" s="84" t="str">
        <f t="shared" si="124"/>
        <v/>
      </c>
      <c r="O834" s="23" t="str">
        <f t="shared" si="125"/>
        <v/>
      </c>
    </row>
    <row r="835" spans="1:15" ht="20" customHeight="1">
      <c r="A835" s="22" t="str">
        <f t="shared" si="126"/>
        <v/>
      </c>
      <c r="B835" s="23" t="str">
        <f>IF($E835="","",149)</f>
        <v/>
      </c>
      <c r="C835" s="24" t="str">
        <f>IF($E835="","",Inputs!$B$9+(148*Inputs!$B$21))</f>
        <v/>
      </c>
      <c r="D835" s="23" t="str">
        <f t="shared" si="127"/>
        <v/>
      </c>
      <c r="E835" s="25" t="str">
        <f t="shared" si="128"/>
        <v/>
      </c>
      <c r="F835" s="25" t="str">
        <f>IF($E835="","",ROUND(MIN(Comparison!$D$5,MAX(0,$E835+$H835)),2))</f>
        <v/>
      </c>
      <c r="G835" s="25" t="str">
        <f>IF($E835="","",ROUND(MIN(Inputs!$B$10,MAX(0,$E835+$H835-$F835)),2))</f>
        <v/>
      </c>
      <c r="H835" s="25" t="str">
        <f>IF($E835="","",ROUND(IF(Inputs!$B$12="Daily Simple Interest",$E835*Inputs!$B$6/Inputs!$B$17*$D835,$E835*Inputs!$B$6/Inputs!$B$20),2))</f>
        <v/>
      </c>
      <c r="I835" s="25" t="str">
        <f t="shared" si="120"/>
        <v/>
      </c>
      <c r="J835" s="25" t="str">
        <f>IF($E835="","",IF($F835+$G835&gt;0,Inputs!$B$11,0))</f>
        <v/>
      </c>
      <c r="K835" s="25" t="str">
        <f t="shared" si="121"/>
        <v/>
      </c>
      <c r="L835" s="25" t="str">
        <f t="shared" si="122"/>
        <v/>
      </c>
      <c r="M835" s="25" t="str">
        <f t="shared" si="123"/>
        <v/>
      </c>
      <c r="N835" s="84" t="str">
        <f t="shared" si="124"/>
        <v/>
      </c>
      <c r="O835" s="23" t="str">
        <f t="shared" si="125"/>
        <v/>
      </c>
    </row>
    <row r="836" spans="1:15" ht="20" customHeight="1">
      <c r="A836" s="22" t="str">
        <f t="shared" si="126"/>
        <v/>
      </c>
      <c r="B836" s="23" t="str">
        <f>IF($E836="","",150)</f>
        <v/>
      </c>
      <c r="C836" s="24" t="str">
        <f>IF($E836="","",Inputs!$B$9+(149*Inputs!$B$21))</f>
        <v/>
      </c>
      <c r="D836" s="23" t="str">
        <f t="shared" si="127"/>
        <v/>
      </c>
      <c r="E836" s="25" t="str">
        <f t="shared" si="128"/>
        <v/>
      </c>
      <c r="F836" s="25" t="str">
        <f>IF($E836="","",ROUND(MIN(Comparison!$D$5,MAX(0,$E836+$H836)),2))</f>
        <v/>
      </c>
      <c r="G836" s="25" t="str">
        <f>IF($E836="","",ROUND(MIN(Inputs!$B$10,MAX(0,$E836+$H836-$F836)),2))</f>
        <v/>
      </c>
      <c r="H836" s="25" t="str">
        <f>IF($E836="","",ROUND(IF(Inputs!$B$12="Daily Simple Interest",$E836*Inputs!$B$6/Inputs!$B$17*$D836,$E836*Inputs!$B$6/Inputs!$B$20),2))</f>
        <v/>
      </c>
      <c r="I836" s="25" t="str">
        <f t="shared" si="120"/>
        <v/>
      </c>
      <c r="J836" s="25" t="str">
        <f>IF($E836="","",IF($F836+$G836&gt;0,Inputs!$B$11,0))</f>
        <v/>
      </c>
      <c r="K836" s="25" t="str">
        <f t="shared" si="121"/>
        <v/>
      </c>
      <c r="L836" s="25" t="str">
        <f t="shared" si="122"/>
        <v/>
      </c>
      <c r="M836" s="25" t="str">
        <f t="shared" si="123"/>
        <v/>
      </c>
      <c r="N836" s="84" t="str">
        <f t="shared" si="124"/>
        <v/>
      </c>
      <c r="O836" s="23" t="str">
        <f t="shared" si="125"/>
        <v/>
      </c>
    </row>
    <row r="837" spans="1:15" ht="20" customHeight="1">
      <c r="A837" s="22" t="str">
        <f t="shared" si="126"/>
        <v/>
      </c>
      <c r="B837" s="23" t="str">
        <f>IF($E837="","",151)</f>
        <v/>
      </c>
      <c r="C837" s="24" t="str">
        <f>IF($E837="","",Inputs!$B$9+(150*Inputs!$B$21))</f>
        <v/>
      </c>
      <c r="D837" s="23" t="str">
        <f t="shared" si="127"/>
        <v/>
      </c>
      <c r="E837" s="25" t="str">
        <f t="shared" si="128"/>
        <v/>
      </c>
      <c r="F837" s="25" t="str">
        <f>IF($E837="","",ROUND(MIN(Comparison!$D$5,MAX(0,$E837+$H837)),2))</f>
        <v/>
      </c>
      <c r="G837" s="25" t="str">
        <f>IF($E837="","",ROUND(MIN(Inputs!$B$10,MAX(0,$E837+$H837-$F837)),2))</f>
        <v/>
      </c>
      <c r="H837" s="25" t="str">
        <f>IF($E837="","",ROUND(IF(Inputs!$B$12="Daily Simple Interest",$E837*Inputs!$B$6/Inputs!$B$17*$D837,$E837*Inputs!$B$6/Inputs!$B$20),2))</f>
        <v/>
      </c>
      <c r="I837" s="25" t="str">
        <f t="shared" si="120"/>
        <v/>
      </c>
      <c r="J837" s="25" t="str">
        <f>IF($E837="","",IF($F837+$G837&gt;0,Inputs!$B$11,0))</f>
        <v/>
      </c>
      <c r="K837" s="25" t="str">
        <f t="shared" si="121"/>
        <v/>
      </c>
      <c r="L837" s="25" t="str">
        <f t="shared" si="122"/>
        <v/>
      </c>
      <c r="M837" s="25" t="str">
        <f t="shared" si="123"/>
        <v/>
      </c>
      <c r="N837" s="84" t="str">
        <f t="shared" si="124"/>
        <v/>
      </c>
      <c r="O837" s="23" t="str">
        <f t="shared" si="125"/>
        <v/>
      </c>
    </row>
    <row r="838" spans="1:15" ht="20" customHeight="1">
      <c r="A838" s="22" t="str">
        <f t="shared" si="126"/>
        <v/>
      </c>
      <c r="B838" s="23" t="str">
        <f>IF($E838="","",152)</f>
        <v/>
      </c>
      <c r="C838" s="24" t="str">
        <f>IF($E838="","",Inputs!$B$9+(151*Inputs!$B$21))</f>
        <v/>
      </c>
      <c r="D838" s="23" t="str">
        <f t="shared" si="127"/>
        <v/>
      </c>
      <c r="E838" s="25" t="str">
        <f t="shared" si="128"/>
        <v/>
      </c>
      <c r="F838" s="25" t="str">
        <f>IF($E838="","",ROUND(MIN(Comparison!$D$5,MAX(0,$E838+$H838)),2))</f>
        <v/>
      </c>
      <c r="G838" s="25" t="str">
        <f>IF($E838="","",ROUND(MIN(Inputs!$B$10,MAX(0,$E838+$H838-$F838)),2))</f>
        <v/>
      </c>
      <c r="H838" s="25" t="str">
        <f>IF($E838="","",ROUND(IF(Inputs!$B$12="Daily Simple Interest",$E838*Inputs!$B$6/Inputs!$B$17*$D838,$E838*Inputs!$B$6/Inputs!$B$20),2))</f>
        <v/>
      </c>
      <c r="I838" s="25" t="str">
        <f t="shared" si="120"/>
        <v/>
      </c>
      <c r="J838" s="25" t="str">
        <f>IF($E838="","",IF($F838+$G838&gt;0,Inputs!$B$11,0))</f>
        <v/>
      </c>
      <c r="K838" s="25" t="str">
        <f t="shared" si="121"/>
        <v/>
      </c>
      <c r="L838" s="25" t="str">
        <f t="shared" si="122"/>
        <v/>
      </c>
      <c r="M838" s="25" t="str">
        <f t="shared" si="123"/>
        <v/>
      </c>
      <c r="N838" s="84" t="str">
        <f t="shared" si="124"/>
        <v/>
      </c>
      <c r="O838" s="23" t="str">
        <f t="shared" si="125"/>
        <v/>
      </c>
    </row>
    <row r="839" spans="1:15" ht="20" customHeight="1">
      <c r="A839" s="22" t="str">
        <f t="shared" si="126"/>
        <v/>
      </c>
      <c r="B839" s="23" t="str">
        <f>IF($E839="","",153)</f>
        <v/>
      </c>
      <c r="C839" s="24" t="str">
        <f>IF($E839="","",Inputs!$B$9+(152*Inputs!$B$21))</f>
        <v/>
      </c>
      <c r="D839" s="23" t="str">
        <f t="shared" si="127"/>
        <v/>
      </c>
      <c r="E839" s="25" t="str">
        <f t="shared" si="128"/>
        <v/>
      </c>
      <c r="F839" s="25" t="str">
        <f>IF($E839="","",ROUND(MIN(Comparison!$D$5,MAX(0,$E839+$H839)),2))</f>
        <v/>
      </c>
      <c r="G839" s="25" t="str">
        <f>IF($E839="","",ROUND(MIN(Inputs!$B$10,MAX(0,$E839+$H839-$F839)),2))</f>
        <v/>
      </c>
      <c r="H839" s="25" t="str">
        <f>IF($E839="","",ROUND(IF(Inputs!$B$12="Daily Simple Interest",$E839*Inputs!$B$6/Inputs!$B$17*$D839,$E839*Inputs!$B$6/Inputs!$B$20),2))</f>
        <v/>
      </c>
      <c r="I839" s="25" t="str">
        <f t="shared" ref="I839:I902" si="129">IF($E839="","",ROUND($F839+$G839-$H839,2))</f>
        <v/>
      </c>
      <c r="J839" s="25" t="str">
        <f>IF($E839="","",IF($F839+$G839&gt;0,Inputs!$B$11,0))</f>
        <v/>
      </c>
      <c r="K839" s="25" t="str">
        <f t="shared" ref="K839:K902" si="130">IF($E839="","",ROUND(MAX(0,$E839-$I839),2))</f>
        <v/>
      </c>
      <c r="L839" s="25" t="str">
        <f t="shared" ref="L839:L902" si="131">IF($E839="","",$F839+$G839)</f>
        <v/>
      </c>
      <c r="M839" s="25" t="str">
        <f t="shared" ref="M839:M902" si="132">IF($E839="","",0)</f>
        <v/>
      </c>
      <c r="N839" s="84" t="str">
        <f t="shared" ref="N839:N902" si="133">IF($E839="","",IF($K839&lt;=0.005,"PAID OFF","ACTIVE"))</f>
        <v/>
      </c>
      <c r="O839" s="23" t="str">
        <f t="shared" ref="O839:O902" si="134">IF($E839="","",IF($F839+$G839&gt;0,1,0))</f>
        <v/>
      </c>
    </row>
    <row r="840" spans="1:15" ht="20" customHeight="1">
      <c r="A840" s="22" t="str">
        <f t="shared" si="126"/>
        <v/>
      </c>
      <c r="B840" s="23" t="str">
        <f>IF($E840="","",154)</f>
        <v/>
      </c>
      <c r="C840" s="24" t="str">
        <f>IF($E840="","",Inputs!$B$9+(153*Inputs!$B$21))</f>
        <v/>
      </c>
      <c r="D840" s="23" t="str">
        <f t="shared" si="127"/>
        <v/>
      </c>
      <c r="E840" s="25" t="str">
        <f t="shared" si="128"/>
        <v/>
      </c>
      <c r="F840" s="25" t="str">
        <f>IF($E840="","",ROUND(MIN(Comparison!$D$5,MAX(0,$E840+$H840)),2))</f>
        <v/>
      </c>
      <c r="G840" s="25" t="str">
        <f>IF($E840="","",ROUND(MIN(Inputs!$B$10,MAX(0,$E840+$H840-$F840)),2))</f>
        <v/>
      </c>
      <c r="H840" s="25" t="str">
        <f>IF($E840="","",ROUND(IF(Inputs!$B$12="Daily Simple Interest",$E840*Inputs!$B$6/Inputs!$B$17*$D840,$E840*Inputs!$B$6/Inputs!$B$20),2))</f>
        <v/>
      </c>
      <c r="I840" s="25" t="str">
        <f t="shared" si="129"/>
        <v/>
      </c>
      <c r="J840" s="25" t="str">
        <f>IF($E840="","",IF($F840+$G840&gt;0,Inputs!$B$11,0))</f>
        <v/>
      </c>
      <c r="K840" s="25" t="str">
        <f t="shared" si="130"/>
        <v/>
      </c>
      <c r="L840" s="25" t="str">
        <f t="shared" si="131"/>
        <v/>
      </c>
      <c r="M840" s="25" t="str">
        <f t="shared" si="132"/>
        <v/>
      </c>
      <c r="N840" s="84" t="str">
        <f t="shared" si="133"/>
        <v/>
      </c>
      <c r="O840" s="23" t="str">
        <f t="shared" si="134"/>
        <v/>
      </c>
    </row>
    <row r="841" spans="1:15" ht="20" customHeight="1">
      <c r="A841" s="22" t="str">
        <f t="shared" si="126"/>
        <v/>
      </c>
      <c r="B841" s="23" t="str">
        <f>IF($E841="","",155)</f>
        <v/>
      </c>
      <c r="C841" s="24" t="str">
        <f>IF($E841="","",Inputs!$B$9+(154*Inputs!$B$21))</f>
        <v/>
      </c>
      <c r="D841" s="23" t="str">
        <f t="shared" si="127"/>
        <v/>
      </c>
      <c r="E841" s="25" t="str">
        <f t="shared" si="128"/>
        <v/>
      </c>
      <c r="F841" s="25" t="str">
        <f>IF($E841="","",ROUND(MIN(Comparison!$D$5,MAX(0,$E841+$H841)),2))</f>
        <v/>
      </c>
      <c r="G841" s="25" t="str">
        <f>IF($E841="","",ROUND(MIN(Inputs!$B$10,MAX(0,$E841+$H841-$F841)),2))</f>
        <v/>
      </c>
      <c r="H841" s="25" t="str">
        <f>IF($E841="","",ROUND(IF(Inputs!$B$12="Daily Simple Interest",$E841*Inputs!$B$6/Inputs!$B$17*$D841,$E841*Inputs!$B$6/Inputs!$B$20),2))</f>
        <v/>
      </c>
      <c r="I841" s="25" t="str">
        <f t="shared" si="129"/>
        <v/>
      </c>
      <c r="J841" s="25" t="str">
        <f>IF($E841="","",IF($F841+$G841&gt;0,Inputs!$B$11,0))</f>
        <v/>
      </c>
      <c r="K841" s="25" t="str">
        <f t="shared" si="130"/>
        <v/>
      </c>
      <c r="L841" s="25" t="str">
        <f t="shared" si="131"/>
        <v/>
      </c>
      <c r="M841" s="25" t="str">
        <f t="shared" si="132"/>
        <v/>
      </c>
      <c r="N841" s="84" t="str">
        <f t="shared" si="133"/>
        <v/>
      </c>
      <c r="O841" s="23" t="str">
        <f t="shared" si="134"/>
        <v/>
      </c>
    </row>
    <row r="842" spans="1:15" ht="20" customHeight="1">
      <c r="A842" s="22" t="str">
        <f t="shared" si="126"/>
        <v/>
      </c>
      <c r="B842" s="23" t="str">
        <f>IF($E842="","",156)</f>
        <v/>
      </c>
      <c r="C842" s="24" t="str">
        <f>IF($E842="","",Inputs!$B$9+(155*Inputs!$B$21))</f>
        <v/>
      </c>
      <c r="D842" s="23" t="str">
        <f t="shared" si="127"/>
        <v/>
      </c>
      <c r="E842" s="25" t="str">
        <f t="shared" si="128"/>
        <v/>
      </c>
      <c r="F842" s="25" t="str">
        <f>IF($E842="","",ROUND(MIN(Comparison!$D$5,MAX(0,$E842+$H842)),2))</f>
        <v/>
      </c>
      <c r="G842" s="25" t="str">
        <f>IF($E842="","",ROUND(MIN(Inputs!$B$10,MAX(0,$E842+$H842-$F842)),2))</f>
        <v/>
      </c>
      <c r="H842" s="25" t="str">
        <f>IF($E842="","",ROUND(IF(Inputs!$B$12="Daily Simple Interest",$E842*Inputs!$B$6/Inputs!$B$17*$D842,$E842*Inputs!$B$6/Inputs!$B$20),2))</f>
        <v/>
      </c>
      <c r="I842" s="25" t="str">
        <f t="shared" si="129"/>
        <v/>
      </c>
      <c r="J842" s="25" t="str">
        <f>IF($E842="","",IF($F842+$G842&gt;0,Inputs!$B$11,0))</f>
        <v/>
      </c>
      <c r="K842" s="25" t="str">
        <f t="shared" si="130"/>
        <v/>
      </c>
      <c r="L842" s="25" t="str">
        <f t="shared" si="131"/>
        <v/>
      </c>
      <c r="M842" s="25" t="str">
        <f t="shared" si="132"/>
        <v/>
      </c>
      <c r="N842" s="84" t="str">
        <f t="shared" si="133"/>
        <v/>
      </c>
      <c r="O842" s="23" t="str">
        <f t="shared" si="134"/>
        <v/>
      </c>
    </row>
    <row r="843" spans="1:15" ht="20" customHeight="1">
      <c r="A843" s="22" t="str">
        <f t="shared" si="126"/>
        <v/>
      </c>
      <c r="B843" s="23" t="str">
        <f>IF($E843="","",157)</f>
        <v/>
      </c>
      <c r="C843" s="24" t="str">
        <f>IF($E843="","",Inputs!$B$9+(156*Inputs!$B$21))</f>
        <v/>
      </c>
      <c r="D843" s="23" t="str">
        <f t="shared" si="127"/>
        <v/>
      </c>
      <c r="E843" s="25" t="str">
        <f t="shared" si="128"/>
        <v/>
      </c>
      <c r="F843" s="25" t="str">
        <f>IF($E843="","",ROUND(MIN(Comparison!$D$5,MAX(0,$E843+$H843)),2))</f>
        <v/>
      </c>
      <c r="G843" s="25" t="str">
        <f>IF($E843="","",ROUND(MIN(Inputs!$B$10,MAX(0,$E843+$H843-$F843)),2))</f>
        <v/>
      </c>
      <c r="H843" s="25" t="str">
        <f>IF($E843="","",ROUND(IF(Inputs!$B$12="Daily Simple Interest",$E843*Inputs!$B$6/Inputs!$B$17*$D843,$E843*Inputs!$B$6/Inputs!$B$20),2))</f>
        <v/>
      </c>
      <c r="I843" s="25" t="str">
        <f t="shared" si="129"/>
        <v/>
      </c>
      <c r="J843" s="25" t="str">
        <f>IF($E843="","",IF($F843+$G843&gt;0,Inputs!$B$11,0))</f>
        <v/>
      </c>
      <c r="K843" s="25" t="str">
        <f t="shared" si="130"/>
        <v/>
      </c>
      <c r="L843" s="25" t="str">
        <f t="shared" si="131"/>
        <v/>
      </c>
      <c r="M843" s="25" t="str">
        <f t="shared" si="132"/>
        <v/>
      </c>
      <c r="N843" s="84" t="str">
        <f t="shared" si="133"/>
        <v/>
      </c>
      <c r="O843" s="23" t="str">
        <f t="shared" si="134"/>
        <v/>
      </c>
    </row>
    <row r="844" spans="1:15" ht="20" customHeight="1">
      <c r="A844" s="22" t="str">
        <f t="shared" si="126"/>
        <v/>
      </c>
      <c r="B844" s="23" t="str">
        <f>IF($E844="","",158)</f>
        <v/>
      </c>
      <c r="C844" s="24" t="str">
        <f>IF($E844="","",Inputs!$B$9+(157*Inputs!$B$21))</f>
        <v/>
      </c>
      <c r="D844" s="23" t="str">
        <f t="shared" si="127"/>
        <v/>
      </c>
      <c r="E844" s="25" t="str">
        <f t="shared" si="128"/>
        <v/>
      </c>
      <c r="F844" s="25" t="str">
        <f>IF($E844="","",ROUND(MIN(Comparison!$D$5,MAX(0,$E844+$H844)),2))</f>
        <v/>
      </c>
      <c r="G844" s="25" t="str">
        <f>IF($E844="","",ROUND(MIN(Inputs!$B$10,MAX(0,$E844+$H844-$F844)),2))</f>
        <v/>
      </c>
      <c r="H844" s="25" t="str">
        <f>IF($E844="","",ROUND(IF(Inputs!$B$12="Daily Simple Interest",$E844*Inputs!$B$6/Inputs!$B$17*$D844,$E844*Inputs!$B$6/Inputs!$B$20),2))</f>
        <v/>
      </c>
      <c r="I844" s="25" t="str">
        <f t="shared" si="129"/>
        <v/>
      </c>
      <c r="J844" s="25" t="str">
        <f>IF($E844="","",IF($F844+$G844&gt;0,Inputs!$B$11,0))</f>
        <v/>
      </c>
      <c r="K844" s="25" t="str">
        <f t="shared" si="130"/>
        <v/>
      </c>
      <c r="L844" s="25" t="str">
        <f t="shared" si="131"/>
        <v/>
      </c>
      <c r="M844" s="25" t="str">
        <f t="shared" si="132"/>
        <v/>
      </c>
      <c r="N844" s="84" t="str">
        <f t="shared" si="133"/>
        <v/>
      </c>
      <c r="O844" s="23" t="str">
        <f t="shared" si="134"/>
        <v/>
      </c>
    </row>
    <row r="845" spans="1:15" ht="20" customHeight="1">
      <c r="A845" s="22" t="str">
        <f t="shared" si="126"/>
        <v/>
      </c>
      <c r="B845" s="23" t="str">
        <f>IF($E845="","",159)</f>
        <v/>
      </c>
      <c r="C845" s="24" t="str">
        <f>IF($E845="","",Inputs!$B$9+(158*Inputs!$B$21))</f>
        <v/>
      </c>
      <c r="D845" s="23" t="str">
        <f t="shared" si="127"/>
        <v/>
      </c>
      <c r="E845" s="25" t="str">
        <f t="shared" si="128"/>
        <v/>
      </c>
      <c r="F845" s="25" t="str">
        <f>IF($E845="","",ROUND(MIN(Comparison!$D$5,MAX(0,$E845+$H845)),2))</f>
        <v/>
      </c>
      <c r="G845" s="25" t="str">
        <f>IF($E845="","",ROUND(MIN(Inputs!$B$10,MAX(0,$E845+$H845-$F845)),2))</f>
        <v/>
      </c>
      <c r="H845" s="25" t="str">
        <f>IF($E845="","",ROUND(IF(Inputs!$B$12="Daily Simple Interest",$E845*Inputs!$B$6/Inputs!$B$17*$D845,$E845*Inputs!$B$6/Inputs!$B$20),2))</f>
        <v/>
      </c>
      <c r="I845" s="25" t="str">
        <f t="shared" si="129"/>
        <v/>
      </c>
      <c r="J845" s="25" t="str">
        <f>IF($E845="","",IF($F845+$G845&gt;0,Inputs!$B$11,0))</f>
        <v/>
      </c>
      <c r="K845" s="25" t="str">
        <f t="shared" si="130"/>
        <v/>
      </c>
      <c r="L845" s="25" t="str">
        <f t="shared" si="131"/>
        <v/>
      </c>
      <c r="M845" s="25" t="str">
        <f t="shared" si="132"/>
        <v/>
      </c>
      <c r="N845" s="84" t="str">
        <f t="shared" si="133"/>
        <v/>
      </c>
      <c r="O845" s="23" t="str">
        <f t="shared" si="134"/>
        <v/>
      </c>
    </row>
    <row r="846" spans="1:15" ht="20" customHeight="1">
      <c r="A846" s="22" t="str">
        <f t="shared" si="126"/>
        <v/>
      </c>
      <c r="B846" s="23" t="str">
        <f>IF($E846="","",160)</f>
        <v/>
      </c>
      <c r="C846" s="24" t="str">
        <f>IF($E846="","",Inputs!$B$9+(159*Inputs!$B$21))</f>
        <v/>
      </c>
      <c r="D846" s="23" t="str">
        <f t="shared" si="127"/>
        <v/>
      </c>
      <c r="E846" s="25" t="str">
        <f t="shared" si="128"/>
        <v/>
      </c>
      <c r="F846" s="25" t="str">
        <f>IF($E846="","",ROUND(MIN(Comparison!$D$5,MAX(0,$E846+$H846)),2))</f>
        <v/>
      </c>
      <c r="G846" s="25" t="str">
        <f>IF($E846="","",ROUND(MIN(Inputs!$B$10,MAX(0,$E846+$H846-$F846)),2))</f>
        <v/>
      </c>
      <c r="H846" s="25" t="str">
        <f>IF($E846="","",ROUND(IF(Inputs!$B$12="Daily Simple Interest",$E846*Inputs!$B$6/Inputs!$B$17*$D846,$E846*Inputs!$B$6/Inputs!$B$20),2))</f>
        <v/>
      </c>
      <c r="I846" s="25" t="str">
        <f t="shared" si="129"/>
        <v/>
      </c>
      <c r="J846" s="25" t="str">
        <f>IF($E846="","",IF($F846+$G846&gt;0,Inputs!$B$11,0))</f>
        <v/>
      </c>
      <c r="K846" s="25" t="str">
        <f t="shared" si="130"/>
        <v/>
      </c>
      <c r="L846" s="25" t="str">
        <f t="shared" si="131"/>
        <v/>
      </c>
      <c r="M846" s="25" t="str">
        <f t="shared" si="132"/>
        <v/>
      </c>
      <c r="N846" s="84" t="str">
        <f t="shared" si="133"/>
        <v/>
      </c>
      <c r="O846" s="23" t="str">
        <f t="shared" si="134"/>
        <v/>
      </c>
    </row>
    <row r="847" spans="1:15" ht="20" customHeight="1">
      <c r="A847" s="22" t="str">
        <f t="shared" si="126"/>
        <v/>
      </c>
      <c r="B847" s="23" t="str">
        <f>IF($E847="","",161)</f>
        <v/>
      </c>
      <c r="C847" s="24" t="str">
        <f>IF($E847="","",Inputs!$B$9+(160*Inputs!$B$21))</f>
        <v/>
      </c>
      <c r="D847" s="23" t="str">
        <f t="shared" si="127"/>
        <v/>
      </c>
      <c r="E847" s="25" t="str">
        <f t="shared" si="128"/>
        <v/>
      </c>
      <c r="F847" s="25" t="str">
        <f>IF($E847="","",ROUND(MIN(Comparison!$D$5,MAX(0,$E847+$H847)),2))</f>
        <v/>
      </c>
      <c r="G847" s="25" t="str">
        <f>IF($E847="","",ROUND(MIN(Inputs!$B$10,MAX(0,$E847+$H847-$F847)),2))</f>
        <v/>
      </c>
      <c r="H847" s="25" t="str">
        <f>IF($E847="","",ROUND(IF(Inputs!$B$12="Daily Simple Interest",$E847*Inputs!$B$6/Inputs!$B$17*$D847,$E847*Inputs!$B$6/Inputs!$B$20),2))</f>
        <v/>
      </c>
      <c r="I847" s="25" t="str">
        <f t="shared" si="129"/>
        <v/>
      </c>
      <c r="J847" s="25" t="str">
        <f>IF($E847="","",IF($F847+$G847&gt;0,Inputs!$B$11,0))</f>
        <v/>
      </c>
      <c r="K847" s="25" t="str">
        <f t="shared" si="130"/>
        <v/>
      </c>
      <c r="L847" s="25" t="str">
        <f t="shared" si="131"/>
        <v/>
      </c>
      <c r="M847" s="25" t="str">
        <f t="shared" si="132"/>
        <v/>
      </c>
      <c r="N847" s="84" t="str">
        <f t="shared" si="133"/>
        <v/>
      </c>
      <c r="O847" s="23" t="str">
        <f t="shared" si="134"/>
        <v/>
      </c>
    </row>
    <row r="848" spans="1:15" ht="20" customHeight="1">
      <c r="A848" s="22" t="str">
        <f t="shared" si="126"/>
        <v/>
      </c>
      <c r="B848" s="23" t="str">
        <f>IF($E848="","",162)</f>
        <v/>
      </c>
      <c r="C848" s="24" t="str">
        <f>IF($E848="","",Inputs!$B$9+(161*Inputs!$B$21))</f>
        <v/>
      </c>
      <c r="D848" s="23" t="str">
        <f t="shared" si="127"/>
        <v/>
      </c>
      <c r="E848" s="25" t="str">
        <f t="shared" si="128"/>
        <v/>
      </c>
      <c r="F848" s="25" t="str">
        <f>IF($E848="","",ROUND(MIN(Comparison!$D$5,MAX(0,$E848+$H848)),2))</f>
        <v/>
      </c>
      <c r="G848" s="25" t="str">
        <f>IF($E848="","",ROUND(MIN(Inputs!$B$10,MAX(0,$E848+$H848-$F848)),2))</f>
        <v/>
      </c>
      <c r="H848" s="25" t="str">
        <f>IF($E848="","",ROUND(IF(Inputs!$B$12="Daily Simple Interest",$E848*Inputs!$B$6/Inputs!$B$17*$D848,$E848*Inputs!$B$6/Inputs!$B$20),2))</f>
        <v/>
      </c>
      <c r="I848" s="25" t="str">
        <f t="shared" si="129"/>
        <v/>
      </c>
      <c r="J848" s="25" t="str">
        <f>IF($E848="","",IF($F848+$G848&gt;0,Inputs!$B$11,0))</f>
        <v/>
      </c>
      <c r="K848" s="25" t="str">
        <f t="shared" si="130"/>
        <v/>
      </c>
      <c r="L848" s="25" t="str">
        <f t="shared" si="131"/>
        <v/>
      </c>
      <c r="M848" s="25" t="str">
        <f t="shared" si="132"/>
        <v/>
      </c>
      <c r="N848" s="84" t="str">
        <f t="shared" si="133"/>
        <v/>
      </c>
      <c r="O848" s="23" t="str">
        <f t="shared" si="134"/>
        <v/>
      </c>
    </row>
    <row r="849" spans="1:15" ht="20" customHeight="1">
      <c r="A849" s="22" t="str">
        <f t="shared" si="126"/>
        <v/>
      </c>
      <c r="B849" s="23" t="str">
        <f>IF($E849="","",163)</f>
        <v/>
      </c>
      <c r="C849" s="24" t="str">
        <f>IF($E849="","",Inputs!$B$9+(162*Inputs!$B$21))</f>
        <v/>
      </c>
      <c r="D849" s="23" t="str">
        <f t="shared" si="127"/>
        <v/>
      </c>
      <c r="E849" s="25" t="str">
        <f t="shared" si="128"/>
        <v/>
      </c>
      <c r="F849" s="25" t="str">
        <f>IF($E849="","",ROUND(MIN(Comparison!$D$5,MAX(0,$E849+$H849)),2))</f>
        <v/>
      </c>
      <c r="G849" s="25" t="str">
        <f>IF($E849="","",ROUND(MIN(Inputs!$B$10,MAX(0,$E849+$H849-$F849)),2))</f>
        <v/>
      </c>
      <c r="H849" s="25" t="str">
        <f>IF($E849="","",ROUND(IF(Inputs!$B$12="Daily Simple Interest",$E849*Inputs!$B$6/Inputs!$B$17*$D849,$E849*Inputs!$B$6/Inputs!$B$20),2))</f>
        <v/>
      </c>
      <c r="I849" s="25" t="str">
        <f t="shared" si="129"/>
        <v/>
      </c>
      <c r="J849" s="25" t="str">
        <f>IF($E849="","",IF($F849+$G849&gt;0,Inputs!$B$11,0))</f>
        <v/>
      </c>
      <c r="K849" s="25" t="str">
        <f t="shared" si="130"/>
        <v/>
      </c>
      <c r="L849" s="25" t="str">
        <f t="shared" si="131"/>
        <v/>
      </c>
      <c r="M849" s="25" t="str">
        <f t="shared" si="132"/>
        <v/>
      </c>
      <c r="N849" s="84" t="str">
        <f t="shared" si="133"/>
        <v/>
      </c>
      <c r="O849" s="23" t="str">
        <f t="shared" si="134"/>
        <v/>
      </c>
    </row>
    <row r="850" spans="1:15" ht="20" customHeight="1">
      <c r="A850" s="22" t="str">
        <f t="shared" si="126"/>
        <v/>
      </c>
      <c r="B850" s="23" t="str">
        <f>IF($E850="","",164)</f>
        <v/>
      </c>
      <c r="C850" s="24" t="str">
        <f>IF($E850="","",Inputs!$B$9+(163*Inputs!$B$21))</f>
        <v/>
      </c>
      <c r="D850" s="23" t="str">
        <f t="shared" si="127"/>
        <v/>
      </c>
      <c r="E850" s="25" t="str">
        <f t="shared" si="128"/>
        <v/>
      </c>
      <c r="F850" s="25" t="str">
        <f>IF($E850="","",ROUND(MIN(Comparison!$D$5,MAX(0,$E850+$H850)),2))</f>
        <v/>
      </c>
      <c r="G850" s="25" t="str">
        <f>IF($E850="","",ROUND(MIN(Inputs!$B$10,MAX(0,$E850+$H850-$F850)),2))</f>
        <v/>
      </c>
      <c r="H850" s="25" t="str">
        <f>IF($E850="","",ROUND(IF(Inputs!$B$12="Daily Simple Interest",$E850*Inputs!$B$6/Inputs!$B$17*$D850,$E850*Inputs!$B$6/Inputs!$B$20),2))</f>
        <v/>
      </c>
      <c r="I850" s="25" t="str">
        <f t="shared" si="129"/>
        <v/>
      </c>
      <c r="J850" s="25" t="str">
        <f>IF($E850="","",IF($F850+$G850&gt;0,Inputs!$B$11,0))</f>
        <v/>
      </c>
      <c r="K850" s="25" t="str">
        <f t="shared" si="130"/>
        <v/>
      </c>
      <c r="L850" s="25" t="str">
        <f t="shared" si="131"/>
        <v/>
      </c>
      <c r="M850" s="25" t="str">
        <f t="shared" si="132"/>
        <v/>
      </c>
      <c r="N850" s="84" t="str">
        <f t="shared" si="133"/>
        <v/>
      </c>
      <c r="O850" s="23" t="str">
        <f t="shared" si="134"/>
        <v/>
      </c>
    </row>
    <row r="851" spans="1:15" ht="20" customHeight="1">
      <c r="A851" s="22" t="str">
        <f t="shared" si="126"/>
        <v/>
      </c>
      <c r="B851" s="23" t="str">
        <f>IF($E851="","",165)</f>
        <v/>
      </c>
      <c r="C851" s="24" t="str">
        <f>IF($E851="","",Inputs!$B$9+(164*Inputs!$B$21))</f>
        <v/>
      </c>
      <c r="D851" s="23" t="str">
        <f t="shared" si="127"/>
        <v/>
      </c>
      <c r="E851" s="25" t="str">
        <f t="shared" si="128"/>
        <v/>
      </c>
      <c r="F851" s="25" t="str">
        <f>IF($E851="","",ROUND(MIN(Comparison!$D$5,MAX(0,$E851+$H851)),2))</f>
        <v/>
      </c>
      <c r="G851" s="25" t="str">
        <f>IF($E851="","",ROUND(MIN(Inputs!$B$10,MAX(0,$E851+$H851-$F851)),2))</f>
        <v/>
      </c>
      <c r="H851" s="25" t="str">
        <f>IF($E851="","",ROUND(IF(Inputs!$B$12="Daily Simple Interest",$E851*Inputs!$B$6/Inputs!$B$17*$D851,$E851*Inputs!$B$6/Inputs!$B$20),2))</f>
        <v/>
      </c>
      <c r="I851" s="25" t="str">
        <f t="shared" si="129"/>
        <v/>
      </c>
      <c r="J851" s="25" t="str">
        <f>IF($E851="","",IF($F851+$G851&gt;0,Inputs!$B$11,0))</f>
        <v/>
      </c>
      <c r="K851" s="25" t="str">
        <f t="shared" si="130"/>
        <v/>
      </c>
      <c r="L851" s="25" t="str">
        <f t="shared" si="131"/>
        <v/>
      </c>
      <c r="M851" s="25" t="str">
        <f t="shared" si="132"/>
        <v/>
      </c>
      <c r="N851" s="84" t="str">
        <f t="shared" si="133"/>
        <v/>
      </c>
      <c r="O851" s="23" t="str">
        <f t="shared" si="134"/>
        <v/>
      </c>
    </row>
    <row r="852" spans="1:15" ht="20" customHeight="1">
      <c r="A852" s="22" t="str">
        <f t="shared" si="126"/>
        <v/>
      </c>
      <c r="B852" s="23" t="str">
        <f>IF($E852="","",166)</f>
        <v/>
      </c>
      <c r="C852" s="24" t="str">
        <f>IF($E852="","",Inputs!$B$9+(165*Inputs!$B$21))</f>
        <v/>
      </c>
      <c r="D852" s="23" t="str">
        <f t="shared" si="127"/>
        <v/>
      </c>
      <c r="E852" s="25" t="str">
        <f t="shared" si="128"/>
        <v/>
      </c>
      <c r="F852" s="25" t="str">
        <f>IF($E852="","",ROUND(MIN(Comparison!$D$5,MAX(0,$E852+$H852)),2))</f>
        <v/>
      </c>
      <c r="G852" s="25" t="str">
        <f>IF($E852="","",ROUND(MIN(Inputs!$B$10,MAX(0,$E852+$H852-$F852)),2))</f>
        <v/>
      </c>
      <c r="H852" s="25" t="str">
        <f>IF($E852="","",ROUND(IF(Inputs!$B$12="Daily Simple Interest",$E852*Inputs!$B$6/Inputs!$B$17*$D852,$E852*Inputs!$B$6/Inputs!$B$20),2))</f>
        <v/>
      </c>
      <c r="I852" s="25" t="str">
        <f t="shared" si="129"/>
        <v/>
      </c>
      <c r="J852" s="25" t="str">
        <f>IF($E852="","",IF($F852+$G852&gt;0,Inputs!$B$11,0))</f>
        <v/>
      </c>
      <c r="K852" s="25" t="str">
        <f t="shared" si="130"/>
        <v/>
      </c>
      <c r="L852" s="25" t="str">
        <f t="shared" si="131"/>
        <v/>
      </c>
      <c r="M852" s="25" t="str">
        <f t="shared" si="132"/>
        <v/>
      </c>
      <c r="N852" s="84" t="str">
        <f t="shared" si="133"/>
        <v/>
      </c>
      <c r="O852" s="23" t="str">
        <f t="shared" si="134"/>
        <v/>
      </c>
    </row>
    <row r="853" spans="1:15" ht="20" customHeight="1">
      <c r="A853" s="22" t="str">
        <f t="shared" si="126"/>
        <v/>
      </c>
      <c r="B853" s="23" t="str">
        <f>IF($E853="","",167)</f>
        <v/>
      </c>
      <c r="C853" s="24" t="str">
        <f>IF($E853="","",Inputs!$B$9+(166*Inputs!$B$21))</f>
        <v/>
      </c>
      <c r="D853" s="23" t="str">
        <f t="shared" si="127"/>
        <v/>
      </c>
      <c r="E853" s="25" t="str">
        <f t="shared" si="128"/>
        <v/>
      </c>
      <c r="F853" s="25" t="str">
        <f>IF($E853="","",ROUND(MIN(Comparison!$D$5,MAX(0,$E853+$H853)),2))</f>
        <v/>
      </c>
      <c r="G853" s="25" t="str">
        <f>IF($E853="","",ROUND(MIN(Inputs!$B$10,MAX(0,$E853+$H853-$F853)),2))</f>
        <v/>
      </c>
      <c r="H853" s="25" t="str">
        <f>IF($E853="","",ROUND(IF(Inputs!$B$12="Daily Simple Interest",$E853*Inputs!$B$6/Inputs!$B$17*$D853,$E853*Inputs!$B$6/Inputs!$B$20),2))</f>
        <v/>
      </c>
      <c r="I853" s="25" t="str">
        <f t="shared" si="129"/>
        <v/>
      </c>
      <c r="J853" s="25" t="str">
        <f>IF($E853="","",IF($F853+$G853&gt;0,Inputs!$B$11,0))</f>
        <v/>
      </c>
      <c r="K853" s="25" t="str">
        <f t="shared" si="130"/>
        <v/>
      </c>
      <c r="L853" s="25" t="str">
        <f t="shared" si="131"/>
        <v/>
      </c>
      <c r="M853" s="25" t="str">
        <f t="shared" si="132"/>
        <v/>
      </c>
      <c r="N853" s="84" t="str">
        <f t="shared" si="133"/>
        <v/>
      </c>
      <c r="O853" s="23" t="str">
        <f t="shared" si="134"/>
        <v/>
      </c>
    </row>
    <row r="854" spans="1:15" ht="20" customHeight="1">
      <c r="A854" s="22" t="str">
        <f t="shared" si="126"/>
        <v/>
      </c>
      <c r="B854" s="23" t="str">
        <f>IF($E854="","",168)</f>
        <v/>
      </c>
      <c r="C854" s="24" t="str">
        <f>IF($E854="","",Inputs!$B$9+(167*Inputs!$B$21))</f>
        <v/>
      </c>
      <c r="D854" s="23" t="str">
        <f t="shared" si="127"/>
        <v/>
      </c>
      <c r="E854" s="25" t="str">
        <f t="shared" si="128"/>
        <v/>
      </c>
      <c r="F854" s="25" t="str">
        <f>IF($E854="","",ROUND(MIN(Comparison!$D$5,MAX(0,$E854+$H854)),2))</f>
        <v/>
      </c>
      <c r="G854" s="25" t="str">
        <f>IF($E854="","",ROUND(MIN(Inputs!$B$10,MAX(0,$E854+$H854-$F854)),2))</f>
        <v/>
      </c>
      <c r="H854" s="25" t="str">
        <f>IF($E854="","",ROUND(IF(Inputs!$B$12="Daily Simple Interest",$E854*Inputs!$B$6/Inputs!$B$17*$D854,$E854*Inputs!$B$6/Inputs!$B$20),2))</f>
        <v/>
      </c>
      <c r="I854" s="25" t="str">
        <f t="shared" si="129"/>
        <v/>
      </c>
      <c r="J854" s="25" t="str">
        <f>IF($E854="","",IF($F854+$G854&gt;0,Inputs!$B$11,0))</f>
        <v/>
      </c>
      <c r="K854" s="25" t="str">
        <f t="shared" si="130"/>
        <v/>
      </c>
      <c r="L854" s="25" t="str">
        <f t="shared" si="131"/>
        <v/>
      </c>
      <c r="M854" s="25" t="str">
        <f t="shared" si="132"/>
        <v/>
      </c>
      <c r="N854" s="84" t="str">
        <f t="shared" si="133"/>
        <v/>
      </c>
      <c r="O854" s="23" t="str">
        <f t="shared" si="134"/>
        <v/>
      </c>
    </row>
    <row r="855" spans="1:15" ht="20" customHeight="1">
      <c r="A855" s="22" t="str">
        <f t="shared" si="126"/>
        <v/>
      </c>
      <c r="B855" s="23" t="str">
        <f>IF($E855="","",169)</f>
        <v/>
      </c>
      <c r="C855" s="24" t="str">
        <f>IF($E855="","",Inputs!$B$9+(168*Inputs!$B$21))</f>
        <v/>
      </c>
      <c r="D855" s="23" t="str">
        <f t="shared" si="127"/>
        <v/>
      </c>
      <c r="E855" s="25" t="str">
        <f t="shared" si="128"/>
        <v/>
      </c>
      <c r="F855" s="25" t="str">
        <f>IF($E855="","",ROUND(MIN(Comparison!$D$5,MAX(0,$E855+$H855)),2))</f>
        <v/>
      </c>
      <c r="G855" s="25" t="str">
        <f>IF($E855="","",ROUND(MIN(Inputs!$B$10,MAX(0,$E855+$H855-$F855)),2))</f>
        <v/>
      </c>
      <c r="H855" s="25" t="str">
        <f>IF($E855="","",ROUND(IF(Inputs!$B$12="Daily Simple Interest",$E855*Inputs!$B$6/Inputs!$B$17*$D855,$E855*Inputs!$B$6/Inputs!$B$20),2))</f>
        <v/>
      </c>
      <c r="I855" s="25" t="str">
        <f t="shared" si="129"/>
        <v/>
      </c>
      <c r="J855" s="25" t="str">
        <f>IF($E855="","",IF($F855+$G855&gt;0,Inputs!$B$11,0))</f>
        <v/>
      </c>
      <c r="K855" s="25" t="str">
        <f t="shared" si="130"/>
        <v/>
      </c>
      <c r="L855" s="25" t="str">
        <f t="shared" si="131"/>
        <v/>
      </c>
      <c r="M855" s="25" t="str">
        <f t="shared" si="132"/>
        <v/>
      </c>
      <c r="N855" s="84" t="str">
        <f t="shared" si="133"/>
        <v/>
      </c>
      <c r="O855" s="23" t="str">
        <f t="shared" si="134"/>
        <v/>
      </c>
    </row>
    <row r="856" spans="1:15" ht="20" customHeight="1">
      <c r="A856" s="22" t="str">
        <f t="shared" si="126"/>
        <v/>
      </c>
      <c r="B856" s="23" t="str">
        <f>IF($E856="","",170)</f>
        <v/>
      </c>
      <c r="C856" s="24" t="str">
        <f>IF($E856="","",Inputs!$B$9+(169*Inputs!$B$21))</f>
        <v/>
      </c>
      <c r="D856" s="23" t="str">
        <f t="shared" si="127"/>
        <v/>
      </c>
      <c r="E856" s="25" t="str">
        <f t="shared" si="128"/>
        <v/>
      </c>
      <c r="F856" s="25" t="str">
        <f>IF($E856="","",ROUND(MIN(Comparison!$D$5,MAX(0,$E856+$H856)),2))</f>
        <v/>
      </c>
      <c r="G856" s="25" t="str">
        <f>IF($E856="","",ROUND(MIN(Inputs!$B$10,MAX(0,$E856+$H856-$F856)),2))</f>
        <v/>
      </c>
      <c r="H856" s="25" t="str">
        <f>IF($E856="","",ROUND(IF(Inputs!$B$12="Daily Simple Interest",$E856*Inputs!$B$6/Inputs!$B$17*$D856,$E856*Inputs!$B$6/Inputs!$B$20),2))</f>
        <v/>
      </c>
      <c r="I856" s="25" t="str">
        <f t="shared" si="129"/>
        <v/>
      </c>
      <c r="J856" s="25" t="str">
        <f>IF($E856="","",IF($F856+$G856&gt;0,Inputs!$B$11,0))</f>
        <v/>
      </c>
      <c r="K856" s="25" t="str">
        <f t="shared" si="130"/>
        <v/>
      </c>
      <c r="L856" s="25" t="str">
        <f t="shared" si="131"/>
        <v/>
      </c>
      <c r="M856" s="25" t="str">
        <f t="shared" si="132"/>
        <v/>
      </c>
      <c r="N856" s="84" t="str">
        <f t="shared" si="133"/>
        <v/>
      </c>
      <c r="O856" s="23" t="str">
        <f t="shared" si="134"/>
        <v/>
      </c>
    </row>
    <row r="857" spans="1:15" ht="20" customHeight="1">
      <c r="A857" s="22" t="str">
        <f t="shared" si="126"/>
        <v/>
      </c>
      <c r="B857" s="23" t="str">
        <f>IF($E857="","",171)</f>
        <v/>
      </c>
      <c r="C857" s="24" t="str">
        <f>IF($E857="","",Inputs!$B$9+(170*Inputs!$B$21))</f>
        <v/>
      </c>
      <c r="D857" s="23" t="str">
        <f t="shared" si="127"/>
        <v/>
      </c>
      <c r="E857" s="25" t="str">
        <f t="shared" si="128"/>
        <v/>
      </c>
      <c r="F857" s="25" t="str">
        <f>IF($E857="","",ROUND(MIN(Comparison!$D$5,MAX(0,$E857+$H857)),2))</f>
        <v/>
      </c>
      <c r="G857" s="25" t="str">
        <f>IF($E857="","",ROUND(MIN(Inputs!$B$10,MAX(0,$E857+$H857-$F857)),2))</f>
        <v/>
      </c>
      <c r="H857" s="25" t="str">
        <f>IF($E857="","",ROUND(IF(Inputs!$B$12="Daily Simple Interest",$E857*Inputs!$B$6/Inputs!$B$17*$D857,$E857*Inputs!$B$6/Inputs!$B$20),2))</f>
        <v/>
      </c>
      <c r="I857" s="25" t="str">
        <f t="shared" si="129"/>
        <v/>
      </c>
      <c r="J857" s="25" t="str">
        <f>IF($E857="","",IF($F857+$G857&gt;0,Inputs!$B$11,0))</f>
        <v/>
      </c>
      <c r="K857" s="25" t="str">
        <f t="shared" si="130"/>
        <v/>
      </c>
      <c r="L857" s="25" t="str">
        <f t="shared" si="131"/>
        <v/>
      </c>
      <c r="M857" s="25" t="str">
        <f t="shared" si="132"/>
        <v/>
      </c>
      <c r="N857" s="84" t="str">
        <f t="shared" si="133"/>
        <v/>
      </c>
      <c r="O857" s="23" t="str">
        <f t="shared" si="134"/>
        <v/>
      </c>
    </row>
    <row r="858" spans="1:15" ht="20" customHeight="1">
      <c r="A858" s="22" t="str">
        <f t="shared" si="126"/>
        <v/>
      </c>
      <c r="B858" s="23" t="str">
        <f>IF($E858="","",172)</f>
        <v/>
      </c>
      <c r="C858" s="24" t="str">
        <f>IF($E858="","",Inputs!$B$9+(171*Inputs!$B$21))</f>
        <v/>
      </c>
      <c r="D858" s="23" t="str">
        <f t="shared" si="127"/>
        <v/>
      </c>
      <c r="E858" s="25" t="str">
        <f t="shared" si="128"/>
        <v/>
      </c>
      <c r="F858" s="25" t="str">
        <f>IF($E858="","",ROUND(MIN(Comparison!$D$5,MAX(0,$E858+$H858)),2))</f>
        <v/>
      </c>
      <c r="G858" s="25" t="str">
        <f>IF($E858="","",ROUND(MIN(Inputs!$B$10,MAX(0,$E858+$H858-$F858)),2))</f>
        <v/>
      </c>
      <c r="H858" s="25" t="str">
        <f>IF($E858="","",ROUND(IF(Inputs!$B$12="Daily Simple Interest",$E858*Inputs!$B$6/Inputs!$B$17*$D858,$E858*Inputs!$B$6/Inputs!$B$20),2))</f>
        <v/>
      </c>
      <c r="I858" s="25" t="str">
        <f t="shared" si="129"/>
        <v/>
      </c>
      <c r="J858" s="25" t="str">
        <f>IF($E858="","",IF($F858+$G858&gt;0,Inputs!$B$11,0))</f>
        <v/>
      </c>
      <c r="K858" s="25" t="str">
        <f t="shared" si="130"/>
        <v/>
      </c>
      <c r="L858" s="25" t="str">
        <f t="shared" si="131"/>
        <v/>
      </c>
      <c r="M858" s="25" t="str">
        <f t="shared" si="132"/>
        <v/>
      </c>
      <c r="N858" s="84" t="str">
        <f t="shared" si="133"/>
        <v/>
      </c>
      <c r="O858" s="23" t="str">
        <f t="shared" si="134"/>
        <v/>
      </c>
    </row>
    <row r="859" spans="1:15" ht="20" customHeight="1">
      <c r="A859" s="22" t="str">
        <f t="shared" si="126"/>
        <v/>
      </c>
      <c r="B859" s="23" t="str">
        <f>IF($E859="","",173)</f>
        <v/>
      </c>
      <c r="C859" s="24" t="str">
        <f>IF($E859="","",Inputs!$B$9+(172*Inputs!$B$21))</f>
        <v/>
      </c>
      <c r="D859" s="23" t="str">
        <f t="shared" si="127"/>
        <v/>
      </c>
      <c r="E859" s="25" t="str">
        <f t="shared" si="128"/>
        <v/>
      </c>
      <c r="F859" s="25" t="str">
        <f>IF($E859="","",ROUND(MIN(Comparison!$D$5,MAX(0,$E859+$H859)),2))</f>
        <v/>
      </c>
      <c r="G859" s="25" t="str">
        <f>IF($E859="","",ROUND(MIN(Inputs!$B$10,MAX(0,$E859+$H859-$F859)),2))</f>
        <v/>
      </c>
      <c r="H859" s="25" t="str">
        <f>IF($E859="","",ROUND(IF(Inputs!$B$12="Daily Simple Interest",$E859*Inputs!$B$6/Inputs!$B$17*$D859,$E859*Inputs!$B$6/Inputs!$B$20),2))</f>
        <v/>
      </c>
      <c r="I859" s="25" t="str">
        <f t="shared" si="129"/>
        <v/>
      </c>
      <c r="J859" s="25" t="str">
        <f>IF($E859="","",IF($F859+$G859&gt;0,Inputs!$B$11,0))</f>
        <v/>
      </c>
      <c r="K859" s="25" t="str">
        <f t="shared" si="130"/>
        <v/>
      </c>
      <c r="L859" s="25" t="str">
        <f t="shared" si="131"/>
        <v/>
      </c>
      <c r="M859" s="25" t="str">
        <f t="shared" si="132"/>
        <v/>
      </c>
      <c r="N859" s="84" t="str">
        <f t="shared" si="133"/>
        <v/>
      </c>
      <c r="O859" s="23" t="str">
        <f t="shared" si="134"/>
        <v/>
      </c>
    </row>
    <row r="860" spans="1:15" ht="20" customHeight="1">
      <c r="A860" s="22" t="str">
        <f t="shared" si="126"/>
        <v/>
      </c>
      <c r="B860" s="23" t="str">
        <f>IF($E860="","",174)</f>
        <v/>
      </c>
      <c r="C860" s="24" t="str">
        <f>IF($E860="","",Inputs!$B$9+(173*Inputs!$B$21))</f>
        <v/>
      </c>
      <c r="D860" s="23" t="str">
        <f t="shared" si="127"/>
        <v/>
      </c>
      <c r="E860" s="25" t="str">
        <f t="shared" si="128"/>
        <v/>
      </c>
      <c r="F860" s="25" t="str">
        <f>IF($E860="","",ROUND(MIN(Comparison!$D$5,MAX(0,$E860+$H860)),2))</f>
        <v/>
      </c>
      <c r="G860" s="25" t="str">
        <f>IF($E860="","",ROUND(MIN(Inputs!$B$10,MAX(0,$E860+$H860-$F860)),2))</f>
        <v/>
      </c>
      <c r="H860" s="25" t="str">
        <f>IF($E860="","",ROUND(IF(Inputs!$B$12="Daily Simple Interest",$E860*Inputs!$B$6/Inputs!$B$17*$D860,$E860*Inputs!$B$6/Inputs!$B$20),2))</f>
        <v/>
      </c>
      <c r="I860" s="25" t="str">
        <f t="shared" si="129"/>
        <v/>
      </c>
      <c r="J860" s="25" t="str">
        <f>IF($E860="","",IF($F860+$G860&gt;0,Inputs!$B$11,0))</f>
        <v/>
      </c>
      <c r="K860" s="25" t="str">
        <f t="shared" si="130"/>
        <v/>
      </c>
      <c r="L860" s="25" t="str">
        <f t="shared" si="131"/>
        <v/>
      </c>
      <c r="M860" s="25" t="str">
        <f t="shared" si="132"/>
        <v/>
      </c>
      <c r="N860" s="84" t="str">
        <f t="shared" si="133"/>
        <v/>
      </c>
      <c r="O860" s="23" t="str">
        <f t="shared" si="134"/>
        <v/>
      </c>
    </row>
    <row r="861" spans="1:15" ht="20" customHeight="1">
      <c r="A861" s="22" t="str">
        <f t="shared" si="126"/>
        <v/>
      </c>
      <c r="B861" s="23" t="str">
        <f>IF($E861="","",175)</f>
        <v/>
      </c>
      <c r="C861" s="24" t="str">
        <f>IF($E861="","",Inputs!$B$9+(174*Inputs!$B$21))</f>
        <v/>
      </c>
      <c r="D861" s="23" t="str">
        <f t="shared" si="127"/>
        <v/>
      </c>
      <c r="E861" s="25" t="str">
        <f t="shared" si="128"/>
        <v/>
      </c>
      <c r="F861" s="25" t="str">
        <f>IF($E861="","",ROUND(MIN(Comparison!$D$5,MAX(0,$E861+$H861)),2))</f>
        <v/>
      </c>
      <c r="G861" s="25" t="str">
        <f>IF($E861="","",ROUND(MIN(Inputs!$B$10,MAX(0,$E861+$H861-$F861)),2))</f>
        <v/>
      </c>
      <c r="H861" s="25" t="str">
        <f>IF($E861="","",ROUND(IF(Inputs!$B$12="Daily Simple Interest",$E861*Inputs!$B$6/Inputs!$B$17*$D861,$E861*Inputs!$B$6/Inputs!$B$20),2))</f>
        <v/>
      </c>
      <c r="I861" s="25" t="str">
        <f t="shared" si="129"/>
        <v/>
      </c>
      <c r="J861" s="25" t="str">
        <f>IF($E861="","",IF($F861+$G861&gt;0,Inputs!$B$11,0))</f>
        <v/>
      </c>
      <c r="K861" s="25" t="str">
        <f t="shared" si="130"/>
        <v/>
      </c>
      <c r="L861" s="25" t="str">
        <f t="shared" si="131"/>
        <v/>
      </c>
      <c r="M861" s="25" t="str">
        <f t="shared" si="132"/>
        <v/>
      </c>
      <c r="N861" s="84" t="str">
        <f t="shared" si="133"/>
        <v/>
      </c>
      <c r="O861" s="23" t="str">
        <f t="shared" si="134"/>
        <v/>
      </c>
    </row>
    <row r="862" spans="1:15" ht="20" customHeight="1">
      <c r="A862" s="22" t="str">
        <f t="shared" si="126"/>
        <v/>
      </c>
      <c r="B862" s="23" t="str">
        <f>IF($E862="","",176)</f>
        <v/>
      </c>
      <c r="C862" s="24" t="str">
        <f>IF($E862="","",Inputs!$B$9+(175*Inputs!$B$21))</f>
        <v/>
      </c>
      <c r="D862" s="23" t="str">
        <f t="shared" si="127"/>
        <v/>
      </c>
      <c r="E862" s="25" t="str">
        <f t="shared" si="128"/>
        <v/>
      </c>
      <c r="F862" s="25" t="str">
        <f>IF($E862="","",ROUND(MIN(Comparison!$D$5,MAX(0,$E862+$H862)),2))</f>
        <v/>
      </c>
      <c r="G862" s="25" t="str">
        <f>IF($E862="","",ROUND(MIN(Inputs!$B$10,MAX(0,$E862+$H862-$F862)),2))</f>
        <v/>
      </c>
      <c r="H862" s="25" t="str">
        <f>IF($E862="","",ROUND(IF(Inputs!$B$12="Daily Simple Interest",$E862*Inputs!$B$6/Inputs!$B$17*$D862,$E862*Inputs!$B$6/Inputs!$B$20),2))</f>
        <v/>
      </c>
      <c r="I862" s="25" t="str">
        <f t="shared" si="129"/>
        <v/>
      </c>
      <c r="J862" s="25" t="str">
        <f>IF($E862="","",IF($F862+$G862&gt;0,Inputs!$B$11,0))</f>
        <v/>
      </c>
      <c r="K862" s="25" t="str">
        <f t="shared" si="130"/>
        <v/>
      </c>
      <c r="L862" s="25" t="str">
        <f t="shared" si="131"/>
        <v/>
      </c>
      <c r="M862" s="25" t="str">
        <f t="shared" si="132"/>
        <v/>
      </c>
      <c r="N862" s="84" t="str">
        <f t="shared" si="133"/>
        <v/>
      </c>
      <c r="O862" s="23" t="str">
        <f t="shared" si="134"/>
        <v/>
      </c>
    </row>
    <row r="863" spans="1:15" ht="20" customHeight="1">
      <c r="A863" s="22" t="str">
        <f t="shared" si="126"/>
        <v/>
      </c>
      <c r="B863" s="23" t="str">
        <f>IF($E863="","",177)</f>
        <v/>
      </c>
      <c r="C863" s="24" t="str">
        <f>IF($E863="","",Inputs!$B$9+(176*Inputs!$B$21))</f>
        <v/>
      </c>
      <c r="D863" s="23" t="str">
        <f t="shared" si="127"/>
        <v/>
      </c>
      <c r="E863" s="25" t="str">
        <f t="shared" si="128"/>
        <v/>
      </c>
      <c r="F863" s="25" t="str">
        <f>IF($E863="","",ROUND(MIN(Comparison!$D$5,MAX(0,$E863+$H863)),2))</f>
        <v/>
      </c>
      <c r="G863" s="25" t="str">
        <f>IF($E863="","",ROUND(MIN(Inputs!$B$10,MAX(0,$E863+$H863-$F863)),2))</f>
        <v/>
      </c>
      <c r="H863" s="25" t="str">
        <f>IF($E863="","",ROUND(IF(Inputs!$B$12="Daily Simple Interest",$E863*Inputs!$B$6/Inputs!$B$17*$D863,$E863*Inputs!$B$6/Inputs!$B$20),2))</f>
        <v/>
      </c>
      <c r="I863" s="25" t="str">
        <f t="shared" si="129"/>
        <v/>
      </c>
      <c r="J863" s="25" t="str">
        <f>IF($E863="","",IF($F863+$G863&gt;0,Inputs!$B$11,0))</f>
        <v/>
      </c>
      <c r="K863" s="25" t="str">
        <f t="shared" si="130"/>
        <v/>
      </c>
      <c r="L863" s="25" t="str">
        <f t="shared" si="131"/>
        <v/>
      </c>
      <c r="M863" s="25" t="str">
        <f t="shared" si="132"/>
        <v/>
      </c>
      <c r="N863" s="84" t="str">
        <f t="shared" si="133"/>
        <v/>
      </c>
      <c r="O863" s="23" t="str">
        <f t="shared" si="134"/>
        <v/>
      </c>
    </row>
    <row r="864" spans="1:15" ht="20" customHeight="1">
      <c r="A864" s="22" t="str">
        <f t="shared" si="126"/>
        <v/>
      </c>
      <c r="B864" s="23" t="str">
        <f>IF($E864="","",178)</f>
        <v/>
      </c>
      <c r="C864" s="24" t="str">
        <f>IF($E864="","",Inputs!$B$9+(177*Inputs!$B$21))</f>
        <v/>
      </c>
      <c r="D864" s="23" t="str">
        <f t="shared" si="127"/>
        <v/>
      </c>
      <c r="E864" s="25" t="str">
        <f t="shared" si="128"/>
        <v/>
      </c>
      <c r="F864" s="25" t="str">
        <f>IF($E864="","",ROUND(MIN(Comparison!$D$5,MAX(0,$E864+$H864)),2))</f>
        <v/>
      </c>
      <c r="G864" s="25" t="str">
        <f>IF($E864="","",ROUND(MIN(Inputs!$B$10,MAX(0,$E864+$H864-$F864)),2))</f>
        <v/>
      </c>
      <c r="H864" s="25" t="str">
        <f>IF($E864="","",ROUND(IF(Inputs!$B$12="Daily Simple Interest",$E864*Inputs!$B$6/Inputs!$B$17*$D864,$E864*Inputs!$B$6/Inputs!$B$20),2))</f>
        <v/>
      </c>
      <c r="I864" s="25" t="str">
        <f t="shared" si="129"/>
        <v/>
      </c>
      <c r="J864" s="25" t="str">
        <f>IF($E864="","",IF($F864+$G864&gt;0,Inputs!$B$11,0))</f>
        <v/>
      </c>
      <c r="K864" s="25" t="str">
        <f t="shared" si="130"/>
        <v/>
      </c>
      <c r="L864" s="25" t="str">
        <f t="shared" si="131"/>
        <v/>
      </c>
      <c r="M864" s="25" t="str">
        <f t="shared" si="132"/>
        <v/>
      </c>
      <c r="N864" s="84" t="str">
        <f t="shared" si="133"/>
        <v/>
      </c>
      <c r="O864" s="23" t="str">
        <f t="shared" si="134"/>
        <v/>
      </c>
    </row>
    <row r="865" spans="1:15" ht="20" customHeight="1">
      <c r="A865" s="22" t="str">
        <f t="shared" si="126"/>
        <v/>
      </c>
      <c r="B865" s="23" t="str">
        <f>IF($E865="","",179)</f>
        <v/>
      </c>
      <c r="C865" s="24" t="str">
        <f>IF($E865="","",Inputs!$B$9+(178*Inputs!$B$21))</f>
        <v/>
      </c>
      <c r="D865" s="23" t="str">
        <f t="shared" si="127"/>
        <v/>
      </c>
      <c r="E865" s="25" t="str">
        <f t="shared" si="128"/>
        <v/>
      </c>
      <c r="F865" s="25" t="str">
        <f>IF($E865="","",ROUND(MIN(Comparison!$D$5,MAX(0,$E865+$H865)),2))</f>
        <v/>
      </c>
      <c r="G865" s="25" t="str">
        <f>IF($E865="","",ROUND(MIN(Inputs!$B$10,MAX(0,$E865+$H865-$F865)),2))</f>
        <v/>
      </c>
      <c r="H865" s="25" t="str">
        <f>IF($E865="","",ROUND(IF(Inputs!$B$12="Daily Simple Interest",$E865*Inputs!$B$6/Inputs!$B$17*$D865,$E865*Inputs!$B$6/Inputs!$B$20),2))</f>
        <v/>
      </c>
      <c r="I865" s="25" t="str">
        <f t="shared" si="129"/>
        <v/>
      </c>
      <c r="J865" s="25" t="str">
        <f>IF($E865="","",IF($F865+$G865&gt;0,Inputs!$B$11,0))</f>
        <v/>
      </c>
      <c r="K865" s="25" t="str">
        <f t="shared" si="130"/>
        <v/>
      </c>
      <c r="L865" s="25" t="str">
        <f t="shared" si="131"/>
        <v/>
      </c>
      <c r="M865" s="25" t="str">
        <f t="shared" si="132"/>
        <v/>
      </c>
      <c r="N865" s="84" t="str">
        <f t="shared" si="133"/>
        <v/>
      </c>
      <c r="O865" s="23" t="str">
        <f t="shared" si="134"/>
        <v/>
      </c>
    </row>
    <row r="866" spans="1:15" ht="20" customHeight="1">
      <c r="A866" s="22" t="str">
        <f t="shared" si="126"/>
        <v/>
      </c>
      <c r="B866" s="23" t="str">
        <f>IF($E866="","",180)</f>
        <v/>
      </c>
      <c r="C866" s="24" t="str">
        <f>IF($E866="","",Inputs!$B$9+(179*Inputs!$B$21))</f>
        <v/>
      </c>
      <c r="D866" s="23" t="str">
        <f t="shared" si="127"/>
        <v/>
      </c>
      <c r="E866" s="25" t="str">
        <f t="shared" si="128"/>
        <v/>
      </c>
      <c r="F866" s="25" t="str">
        <f>IF($E866="","",ROUND(MIN(Comparison!$D$5,MAX(0,$E866+$H866)),2))</f>
        <v/>
      </c>
      <c r="G866" s="25" t="str">
        <f>IF($E866="","",ROUND(MIN(Inputs!$B$10,MAX(0,$E866+$H866-$F866)),2))</f>
        <v/>
      </c>
      <c r="H866" s="25" t="str">
        <f>IF($E866="","",ROUND(IF(Inputs!$B$12="Daily Simple Interest",$E866*Inputs!$B$6/Inputs!$B$17*$D866,$E866*Inputs!$B$6/Inputs!$B$20),2))</f>
        <v/>
      </c>
      <c r="I866" s="25" t="str">
        <f t="shared" si="129"/>
        <v/>
      </c>
      <c r="J866" s="25" t="str">
        <f>IF($E866="","",IF($F866+$G866&gt;0,Inputs!$B$11,0))</f>
        <v/>
      </c>
      <c r="K866" s="25" t="str">
        <f t="shared" si="130"/>
        <v/>
      </c>
      <c r="L866" s="25" t="str">
        <f t="shared" si="131"/>
        <v/>
      </c>
      <c r="M866" s="25" t="str">
        <f t="shared" si="132"/>
        <v/>
      </c>
      <c r="N866" s="84" t="str">
        <f t="shared" si="133"/>
        <v/>
      </c>
      <c r="O866" s="23" t="str">
        <f t="shared" si="134"/>
        <v/>
      </c>
    </row>
    <row r="867" spans="1:15" ht="20" customHeight="1">
      <c r="A867" s="22" t="str">
        <f t="shared" si="126"/>
        <v/>
      </c>
      <c r="B867" s="23" t="str">
        <f>IF($E867="","",181)</f>
        <v/>
      </c>
      <c r="C867" s="24" t="str">
        <f>IF($E867="","",Inputs!$B$9+(180*Inputs!$B$21))</f>
        <v/>
      </c>
      <c r="D867" s="23" t="str">
        <f t="shared" si="127"/>
        <v/>
      </c>
      <c r="E867" s="25" t="str">
        <f t="shared" si="128"/>
        <v/>
      </c>
      <c r="F867" s="25" t="str">
        <f>IF($E867="","",ROUND(MIN(Comparison!$D$5,MAX(0,$E867+$H867)),2))</f>
        <v/>
      </c>
      <c r="G867" s="25" t="str">
        <f>IF($E867="","",ROUND(MIN(Inputs!$B$10,MAX(0,$E867+$H867-$F867)),2))</f>
        <v/>
      </c>
      <c r="H867" s="25" t="str">
        <f>IF($E867="","",ROUND(IF(Inputs!$B$12="Daily Simple Interest",$E867*Inputs!$B$6/Inputs!$B$17*$D867,$E867*Inputs!$B$6/Inputs!$B$20),2))</f>
        <v/>
      </c>
      <c r="I867" s="25" t="str">
        <f t="shared" si="129"/>
        <v/>
      </c>
      <c r="J867" s="25" t="str">
        <f>IF($E867="","",IF($F867+$G867&gt;0,Inputs!$B$11,0))</f>
        <v/>
      </c>
      <c r="K867" s="25" t="str">
        <f t="shared" si="130"/>
        <v/>
      </c>
      <c r="L867" s="25" t="str">
        <f t="shared" si="131"/>
        <v/>
      </c>
      <c r="M867" s="25" t="str">
        <f t="shared" si="132"/>
        <v/>
      </c>
      <c r="N867" s="84" t="str">
        <f t="shared" si="133"/>
        <v/>
      </c>
      <c r="O867" s="23" t="str">
        <f t="shared" si="134"/>
        <v/>
      </c>
    </row>
    <row r="868" spans="1:15" ht="20" customHeight="1">
      <c r="A868" s="22" t="str">
        <f t="shared" si="126"/>
        <v/>
      </c>
      <c r="B868" s="23" t="str">
        <f>IF($E868="","",182)</f>
        <v/>
      </c>
      <c r="C868" s="24" t="str">
        <f>IF($E868="","",Inputs!$B$9+(181*Inputs!$B$21))</f>
        <v/>
      </c>
      <c r="D868" s="23" t="str">
        <f t="shared" si="127"/>
        <v/>
      </c>
      <c r="E868" s="25" t="str">
        <f t="shared" si="128"/>
        <v/>
      </c>
      <c r="F868" s="25" t="str">
        <f>IF($E868="","",ROUND(MIN(Comparison!$D$5,MAX(0,$E868+$H868)),2))</f>
        <v/>
      </c>
      <c r="G868" s="25" t="str">
        <f>IF($E868="","",ROUND(MIN(Inputs!$B$10,MAX(0,$E868+$H868-$F868)),2))</f>
        <v/>
      </c>
      <c r="H868" s="25" t="str">
        <f>IF($E868="","",ROUND(IF(Inputs!$B$12="Daily Simple Interest",$E868*Inputs!$B$6/Inputs!$B$17*$D868,$E868*Inputs!$B$6/Inputs!$B$20),2))</f>
        <v/>
      </c>
      <c r="I868" s="25" t="str">
        <f t="shared" si="129"/>
        <v/>
      </c>
      <c r="J868" s="25" t="str">
        <f>IF($E868="","",IF($F868+$G868&gt;0,Inputs!$B$11,0))</f>
        <v/>
      </c>
      <c r="K868" s="25" t="str">
        <f t="shared" si="130"/>
        <v/>
      </c>
      <c r="L868" s="25" t="str">
        <f t="shared" si="131"/>
        <v/>
      </c>
      <c r="M868" s="25" t="str">
        <f t="shared" si="132"/>
        <v/>
      </c>
      <c r="N868" s="84" t="str">
        <f t="shared" si="133"/>
        <v/>
      </c>
      <c r="O868" s="23" t="str">
        <f t="shared" si="134"/>
        <v/>
      </c>
    </row>
    <row r="869" spans="1:15" ht="20" customHeight="1">
      <c r="A869" s="22" t="str">
        <f t="shared" si="126"/>
        <v/>
      </c>
      <c r="B869" s="23" t="str">
        <f>IF($E869="","",183)</f>
        <v/>
      </c>
      <c r="C869" s="24" t="str">
        <f>IF($E869="","",Inputs!$B$9+(182*Inputs!$B$21))</f>
        <v/>
      </c>
      <c r="D869" s="23" t="str">
        <f t="shared" si="127"/>
        <v/>
      </c>
      <c r="E869" s="25" t="str">
        <f t="shared" si="128"/>
        <v/>
      </c>
      <c r="F869" s="25" t="str">
        <f>IF($E869="","",ROUND(MIN(Comparison!$D$5,MAX(0,$E869+$H869)),2))</f>
        <v/>
      </c>
      <c r="G869" s="25" t="str">
        <f>IF($E869="","",ROUND(MIN(Inputs!$B$10,MAX(0,$E869+$H869-$F869)),2))</f>
        <v/>
      </c>
      <c r="H869" s="25" t="str">
        <f>IF($E869="","",ROUND(IF(Inputs!$B$12="Daily Simple Interest",$E869*Inputs!$B$6/Inputs!$B$17*$D869,$E869*Inputs!$B$6/Inputs!$B$20),2))</f>
        <v/>
      </c>
      <c r="I869" s="25" t="str">
        <f t="shared" si="129"/>
        <v/>
      </c>
      <c r="J869" s="25" t="str">
        <f>IF($E869="","",IF($F869+$G869&gt;0,Inputs!$B$11,0))</f>
        <v/>
      </c>
      <c r="K869" s="25" t="str">
        <f t="shared" si="130"/>
        <v/>
      </c>
      <c r="L869" s="25" t="str">
        <f t="shared" si="131"/>
        <v/>
      </c>
      <c r="M869" s="25" t="str">
        <f t="shared" si="132"/>
        <v/>
      </c>
      <c r="N869" s="84" t="str">
        <f t="shared" si="133"/>
        <v/>
      </c>
      <c r="O869" s="23" t="str">
        <f t="shared" si="134"/>
        <v/>
      </c>
    </row>
    <row r="870" spans="1:15" ht="20" customHeight="1">
      <c r="A870" s="22" t="str">
        <f t="shared" si="126"/>
        <v/>
      </c>
      <c r="B870" s="23" t="str">
        <f>IF($E870="","",184)</f>
        <v/>
      </c>
      <c r="C870" s="24" t="str">
        <f>IF($E870="","",Inputs!$B$9+(183*Inputs!$B$21))</f>
        <v/>
      </c>
      <c r="D870" s="23" t="str">
        <f t="shared" si="127"/>
        <v/>
      </c>
      <c r="E870" s="25" t="str">
        <f t="shared" si="128"/>
        <v/>
      </c>
      <c r="F870" s="25" t="str">
        <f>IF($E870="","",ROUND(MIN(Comparison!$D$5,MAX(0,$E870+$H870)),2))</f>
        <v/>
      </c>
      <c r="G870" s="25" t="str">
        <f>IF($E870="","",ROUND(MIN(Inputs!$B$10,MAX(0,$E870+$H870-$F870)),2))</f>
        <v/>
      </c>
      <c r="H870" s="25" t="str">
        <f>IF($E870="","",ROUND(IF(Inputs!$B$12="Daily Simple Interest",$E870*Inputs!$B$6/Inputs!$B$17*$D870,$E870*Inputs!$B$6/Inputs!$B$20),2))</f>
        <v/>
      </c>
      <c r="I870" s="25" t="str">
        <f t="shared" si="129"/>
        <v/>
      </c>
      <c r="J870" s="25" t="str">
        <f>IF($E870="","",IF($F870+$G870&gt;0,Inputs!$B$11,0))</f>
        <v/>
      </c>
      <c r="K870" s="25" t="str">
        <f t="shared" si="130"/>
        <v/>
      </c>
      <c r="L870" s="25" t="str">
        <f t="shared" si="131"/>
        <v/>
      </c>
      <c r="M870" s="25" t="str">
        <f t="shared" si="132"/>
        <v/>
      </c>
      <c r="N870" s="84" t="str">
        <f t="shared" si="133"/>
        <v/>
      </c>
      <c r="O870" s="23" t="str">
        <f t="shared" si="134"/>
        <v/>
      </c>
    </row>
    <row r="871" spans="1:15" ht="20" customHeight="1">
      <c r="A871" s="22" t="str">
        <f t="shared" si="126"/>
        <v/>
      </c>
      <c r="B871" s="23" t="str">
        <f>IF($E871="","",185)</f>
        <v/>
      </c>
      <c r="C871" s="24" t="str">
        <f>IF($E871="","",Inputs!$B$9+(184*Inputs!$B$21))</f>
        <v/>
      </c>
      <c r="D871" s="23" t="str">
        <f t="shared" si="127"/>
        <v/>
      </c>
      <c r="E871" s="25" t="str">
        <f t="shared" si="128"/>
        <v/>
      </c>
      <c r="F871" s="25" t="str">
        <f>IF($E871="","",ROUND(MIN(Comparison!$D$5,MAX(0,$E871+$H871)),2))</f>
        <v/>
      </c>
      <c r="G871" s="25" t="str">
        <f>IF($E871="","",ROUND(MIN(Inputs!$B$10,MAX(0,$E871+$H871-$F871)),2))</f>
        <v/>
      </c>
      <c r="H871" s="25" t="str">
        <f>IF($E871="","",ROUND(IF(Inputs!$B$12="Daily Simple Interest",$E871*Inputs!$B$6/Inputs!$B$17*$D871,$E871*Inputs!$B$6/Inputs!$B$20),2))</f>
        <v/>
      </c>
      <c r="I871" s="25" t="str">
        <f t="shared" si="129"/>
        <v/>
      </c>
      <c r="J871" s="25" t="str">
        <f>IF($E871="","",IF($F871+$G871&gt;0,Inputs!$B$11,0))</f>
        <v/>
      </c>
      <c r="K871" s="25" t="str">
        <f t="shared" si="130"/>
        <v/>
      </c>
      <c r="L871" s="25" t="str">
        <f t="shared" si="131"/>
        <v/>
      </c>
      <c r="M871" s="25" t="str">
        <f t="shared" si="132"/>
        <v/>
      </c>
      <c r="N871" s="84" t="str">
        <f t="shared" si="133"/>
        <v/>
      </c>
      <c r="O871" s="23" t="str">
        <f t="shared" si="134"/>
        <v/>
      </c>
    </row>
    <row r="872" spans="1:15" ht="20" customHeight="1">
      <c r="A872" s="22" t="str">
        <f t="shared" si="126"/>
        <v/>
      </c>
      <c r="B872" s="23" t="str">
        <f>IF($E872="","",186)</f>
        <v/>
      </c>
      <c r="C872" s="24" t="str">
        <f>IF($E872="","",Inputs!$B$9+(185*Inputs!$B$21))</f>
        <v/>
      </c>
      <c r="D872" s="23" t="str">
        <f t="shared" si="127"/>
        <v/>
      </c>
      <c r="E872" s="25" t="str">
        <f t="shared" si="128"/>
        <v/>
      </c>
      <c r="F872" s="25" t="str">
        <f>IF($E872="","",ROUND(MIN(Comparison!$D$5,MAX(0,$E872+$H872)),2))</f>
        <v/>
      </c>
      <c r="G872" s="25" t="str">
        <f>IF($E872="","",ROUND(MIN(Inputs!$B$10,MAX(0,$E872+$H872-$F872)),2))</f>
        <v/>
      </c>
      <c r="H872" s="25" t="str">
        <f>IF($E872="","",ROUND(IF(Inputs!$B$12="Daily Simple Interest",$E872*Inputs!$B$6/Inputs!$B$17*$D872,$E872*Inputs!$B$6/Inputs!$B$20),2))</f>
        <v/>
      </c>
      <c r="I872" s="25" t="str">
        <f t="shared" si="129"/>
        <v/>
      </c>
      <c r="J872" s="25" t="str">
        <f>IF($E872="","",IF($F872+$G872&gt;0,Inputs!$B$11,0))</f>
        <v/>
      </c>
      <c r="K872" s="25" t="str">
        <f t="shared" si="130"/>
        <v/>
      </c>
      <c r="L872" s="25" t="str">
        <f t="shared" si="131"/>
        <v/>
      </c>
      <c r="M872" s="25" t="str">
        <f t="shared" si="132"/>
        <v/>
      </c>
      <c r="N872" s="84" t="str">
        <f t="shared" si="133"/>
        <v/>
      </c>
      <c r="O872" s="23" t="str">
        <f t="shared" si="134"/>
        <v/>
      </c>
    </row>
    <row r="873" spans="1:15" ht="20" customHeight="1">
      <c r="A873" s="22" t="str">
        <f t="shared" si="126"/>
        <v/>
      </c>
      <c r="B873" s="23" t="str">
        <f>IF($E873="","",187)</f>
        <v/>
      </c>
      <c r="C873" s="24" t="str">
        <f>IF($E873="","",Inputs!$B$9+(186*Inputs!$B$21))</f>
        <v/>
      </c>
      <c r="D873" s="23" t="str">
        <f t="shared" si="127"/>
        <v/>
      </c>
      <c r="E873" s="25" t="str">
        <f t="shared" si="128"/>
        <v/>
      </c>
      <c r="F873" s="25" t="str">
        <f>IF($E873="","",ROUND(MIN(Comparison!$D$5,MAX(0,$E873+$H873)),2))</f>
        <v/>
      </c>
      <c r="G873" s="25" t="str">
        <f>IF($E873="","",ROUND(MIN(Inputs!$B$10,MAX(0,$E873+$H873-$F873)),2))</f>
        <v/>
      </c>
      <c r="H873" s="25" t="str">
        <f>IF($E873="","",ROUND(IF(Inputs!$B$12="Daily Simple Interest",$E873*Inputs!$B$6/Inputs!$B$17*$D873,$E873*Inputs!$B$6/Inputs!$B$20),2))</f>
        <v/>
      </c>
      <c r="I873" s="25" t="str">
        <f t="shared" si="129"/>
        <v/>
      </c>
      <c r="J873" s="25" t="str">
        <f>IF($E873="","",IF($F873+$G873&gt;0,Inputs!$B$11,0))</f>
        <v/>
      </c>
      <c r="K873" s="25" t="str">
        <f t="shared" si="130"/>
        <v/>
      </c>
      <c r="L873" s="25" t="str">
        <f t="shared" si="131"/>
        <v/>
      </c>
      <c r="M873" s="25" t="str">
        <f t="shared" si="132"/>
        <v/>
      </c>
      <c r="N873" s="84" t="str">
        <f t="shared" si="133"/>
        <v/>
      </c>
      <c r="O873" s="23" t="str">
        <f t="shared" si="134"/>
        <v/>
      </c>
    </row>
    <row r="874" spans="1:15" ht="20" customHeight="1">
      <c r="A874" s="22" t="str">
        <f t="shared" si="126"/>
        <v/>
      </c>
      <c r="B874" s="23" t="str">
        <f>IF($E874="","",188)</f>
        <v/>
      </c>
      <c r="C874" s="24" t="str">
        <f>IF($E874="","",Inputs!$B$9+(187*Inputs!$B$21))</f>
        <v/>
      </c>
      <c r="D874" s="23" t="str">
        <f t="shared" si="127"/>
        <v/>
      </c>
      <c r="E874" s="25" t="str">
        <f t="shared" si="128"/>
        <v/>
      </c>
      <c r="F874" s="25" t="str">
        <f>IF($E874="","",ROUND(MIN(Comparison!$D$5,MAX(0,$E874+$H874)),2))</f>
        <v/>
      </c>
      <c r="G874" s="25" t="str">
        <f>IF($E874="","",ROUND(MIN(Inputs!$B$10,MAX(0,$E874+$H874-$F874)),2))</f>
        <v/>
      </c>
      <c r="H874" s="25" t="str">
        <f>IF($E874="","",ROUND(IF(Inputs!$B$12="Daily Simple Interest",$E874*Inputs!$B$6/Inputs!$B$17*$D874,$E874*Inputs!$B$6/Inputs!$B$20),2))</f>
        <v/>
      </c>
      <c r="I874" s="25" t="str">
        <f t="shared" si="129"/>
        <v/>
      </c>
      <c r="J874" s="25" t="str">
        <f>IF($E874="","",IF($F874+$G874&gt;0,Inputs!$B$11,0))</f>
        <v/>
      </c>
      <c r="K874" s="25" t="str">
        <f t="shared" si="130"/>
        <v/>
      </c>
      <c r="L874" s="25" t="str">
        <f t="shared" si="131"/>
        <v/>
      </c>
      <c r="M874" s="25" t="str">
        <f t="shared" si="132"/>
        <v/>
      </c>
      <c r="N874" s="84" t="str">
        <f t="shared" si="133"/>
        <v/>
      </c>
      <c r="O874" s="23" t="str">
        <f t="shared" si="134"/>
        <v/>
      </c>
    </row>
    <row r="875" spans="1:15" ht="20" customHeight="1">
      <c r="A875" s="22" t="str">
        <f t="shared" si="126"/>
        <v/>
      </c>
      <c r="B875" s="23" t="str">
        <f>IF($E875="","",189)</f>
        <v/>
      </c>
      <c r="C875" s="24" t="str">
        <f>IF($E875="","",Inputs!$B$9+(188*Inputs!$B$21))</f>
        <v/>
      </c>
      <c r="D875" s="23" t="str">
        <f t="shared" si="127"/>
        <v/>
      </c>
      <c r="E875" s="25" t="str">
        <f t="shared" si="128"/>
        <v/>
      </c>
      <c r="F875" s="25" t="str">
        <f>IF($E875="","",ROUND(MIN(Comparison!$D$5,MAX(0,$E875+$H875)),2))</f>
        <v/>
      </c>
      <c r="G875" s="25" t="str">
        <f>IF($E875="","",ROUND(MIN(Inputs!$B$10,MAX(0,$E875+$H875-$F875)),2))</f>
        <v/>
      </c>
      <c r="H875" s="25" t="str">
        <f>IF($E875="","",ROUND(IF(Inputs!$B$12="Daily Simple Interest",$E875*Inputs!$B$6/Inputs!$B$17*$D875,$E875*Inputs!$B$6/Inputs!$B$20),2))</f>
        <v/>
      </c>
      <c r="I875" s="25" t="str">
        <f t="shared" si="129"/>
        <v/>
      </c>
      <c r="J875" s="25" t="str">
        <f>IF($E875="","",IF($F875+$G875&gt;0,Inputs!$B$11,0))</f>
        <v/>
      </c>
      <c r="K875" s="25" t="str">
        <f t="shared" si="130"/>
        <v/>
      </c>
      <c r="L875" s="25" t="str">
        <f t="shared" si="131"/>
        <v/>
      </c>
      <c r="M875" s="25" t="str">
        <f t="shared" si="132"/>
        <v/>
      </c>
      <c r="N875" s="84" t="str">
        <f t="shared" si="133"/>
        <v/>
      </c>
      <c r="O875" s="23" t="str">
        <f t="shared" si="134"/>
        <v/>
      </c>
    </row>
    <row r="876" spans="1:15" ht="20" customHeight="1">
      <c r="A876" s="22" t="str">
        <f t="shared" si="126"/>
        <v/>
      </c>
      <c r="B876" s="23" t="str">
        <f>IF($E876="","",190)</f>
        <v/>
      </c>
      <c r="C876" s="24" t="str">
        <f>IF($E876="","",Inputs!$B$9+(189*Inputs!$B$21))</f>
        <v/>
      </c>
      <c r="D876" s="23" t="str">
        <f t="shared" si="127"/>
        <v/>
      </c>
      <c r="E876" s="25" t="str">
        <f t="shared" si="128"/>
        <v/>
      </c>
      <c r="F876" s="25" t="str">
        <f>IF($E876="","",ROUND(MIN(Comparison!$D$5,MAX(0,$E876+$H876)),2))</f>
        <v/>
      </c>
      <c r="G876" s="25" t="str">
        <f>IF($E876="","",ROUND(MIN(Inputs!$B$10,MAX(0,$E876+$H876-$F876)),2))</f>
        <v/>
      </c>
      <c r="H876" s="25" t="str">
        <f>IF($E876="","",ROUND(IF(Inputs!$B$12="Daily Simple Interest",$E876*Inputs!$B$6/Inputs!$B$17*$D876,$E876*Inputs!$B$6/Inputs!$B$20),2))</f>
        <v/>
      </c>
      <c r="I876" s="25" t="str">
        <f t="shared" si="129"/>
        <v/>
      </c>
      <c r="J876" s="25" t="str">
        <f>IF($E876="","",IF($F876+$G876&gt;0,Inputs!$B$11,0))</f>
        <v/>
      </c>
      <c r="K876" s="25" t="str">
        <f t="shared" si="130"/>
        <v/>
      </c>
      <c r="L876" s="25" t="str">
        <f t="shared" si="131"/>
        <v/>
      </c>
      <c r="M876" s="25" t="str">
        <f t="shared" si="132"/>
        <v/>
      </c>
      <c r="N876" s="84" t="str">
        <f t="shared" si="133"/>
        <v/>
      </c>
      <c r="O876" s="23" t="str">
        <f t="shared" si="134"/>
        <v/>
      </c>
    </row>
    <row r="877" spans="1:15" ht="20" customHeight="1">
      <c r="A877" s="22" t="str">
        <f t="shared" si="126"/>
        <v/>
      </c>
      <c r="B877" s="23" t="str">
        <f>IF($E877="","",191)</f>
        <v/>
      </c>
      <c r="C877" s="24" t="str">
        <f>IF($E877="","",Inputs!$B$9+(190*Inputs!$B$21))</f>
        <v/>
      </c>
      <c r="D877" s="23" t="str">
        <f t="shared" si="127"/>
        <v/>
      </c>
      <c r="E877" s="25" t="str">
        <f t="shared" si="128"/>
        <v/>
      </c>
      <c r="F877" s="25" t="str">
        <f>IF($E877="","",ROUND(MIN(Comparison!$D$5,MAX(0,$E877+$H877)),2))</f>
        <v/>
      </c>
      <c r="G877" s="25" t="str">
        <f>IF($E877="","",ROUND(MIN(Inputs!$B$10,MAX(0,$E877+$H877-$F877)),2))</f>
        <v/>
      </c>
      <c r="H877" s="25" t="str">
        <f>IF($E877="","",ROUND(IF(Inputs!$B$12="Daily Simple Interest",$E877*Inputs!$B$6/Inputs!$B$17*$D877,$E877*Inputs!$B$6/Inputs!$B$20),2))</f>
        <v/>
      </c>
      <c r="I877" s="25" t="str">
        <f t="shared" si="129"/>
        <v/>
      </c>
      <c r="J877" s="25" t="str">
        <f>IF($E877="","",IF($F877+$G877&gt;0,Inputs!$B$11,0))</f>
        <v/>
      </c>
      <c r="K877" s="25" t="str">
        <f t="shared" si="130"/>
        <v/>
      </c>
      <c r="L877" s="25" t="str">
        <f t="shared" si="131"/>
        <v/>
      </c>
      <c r="M877" s="25" t="str">
        <f t="shared" si="132"/>
        <v/>
      </c>
      <c r="N877" s="84" t="str">
        <f t="shared" si="133"/>
        <v/>
      </c>
      <c r="O877" s="23" t="str">
        <f t="shared" si="134"/>
        <v/>
      </c>
    </row>
    <row r="878" spans="1:15" ht="20" customHeight="1">
      <c r="A878" s="22" t="str">
        <f t="shared" si="126"/>
        <v/>
      </c>
      <c r="B878" s="23" t="str">
        <f>IF($E878="","",192)</f>
        <v/>
      </c>
      <c r="C878" s="24" t="str">
        <f>IF($E878="","",Inputs!$B$9+(191*Inputs!$B$21))</f>
        <v/>
      </c>
      <c r="D878" s="23" t="str">
        <f t="shared" si="127"/>
        <v/>
      </c>
      <c r="E878" s="25" t="str">
        <f t="shared" si="128"/>
        <v/>
      </c>
      <c r="F878" s="25" t="str">
        <f>IF($E878="","",ROUND(MIN(Comparison!$D$5,MAX(0,$E878+$H878)),2))</f>
        <v/>
      </c>
      <c r="G878" s="25" t="str">
        <f>IF($E878="","",ROUND(MIN(Inputs!$B$10,MAX(0,$E878+$H878-$F878)),2))</f>
        <v/>
      </c>
      <c r="H878" s="25" t="str">
        <f>IF($E878="","",ROUND(IF(Inputs!$B$12="Daily Simple Interest",$E878*Inputs!$B$6/Inputs!$B$17*$D878,$E878*Inputs!$B$6/Inputs!$B$20),2))</f>
        <v/>
      </c>
      <c r="I878" s="25" t="str">
        <f t="shared" si="129"/>
        <v/>
      </c>
      <c r="J878" s="25" t="str">
        <f>IF($E878="","",IF($F878+$G878&gt;0,Inputs!$B$11,0))</f>
        <v/>
      </c>
      <c r="K878" s="25" t="str">
        <f t="shared" si="130"/>
        <v/>
      </c>
      <c r="L878" s="25" t="str">
        <f t="shared" si="131"/>
        <v/>
      </c>
      <c r="M878" s="25" t="str">
        <f t="shared" si="132"/>
        <v/>
      </c>
      <c r="N878" s="84" t="str">
        <f t="shared" si="133"/>
        <v/>
      </c>
      <c r="O878" s="23" t="str">
        <f t="shared" si="134"/>
        <v/>
      </c>
    </row>
    <row r="879" spans="1:15" ht="20" customHeight="1">
      <c r="A879" s="22" t="str">
        <f t="shared" ref="A879:A942" si="135">IF($E879="","","True Biweekly")</f>
        <v/>
      </c>
      <c r="B879" s="23" t="str">
        <f>IF($E879="","",193)</f>
        <v/>
      </c>
      <c r="C879" s="24" t="str">
        <f>IF($E879="","",Inputs!$B$9+(192*Inputs!$B$21))</f>
        <v/>
      </c>
      <c r="D879" s="23" t="str">
        <f t="shared" si="127"/>
        <v/>
      </c>
      <c r="E879" s="25" t="str">
        <f t="shared" si="128"/>
        <v/>
      </c>
      <c r="F879" s="25" t="str">
        <f>IF($E879="","",ROUND(MIN(Comparison!$D$5,MAX(0,$E879+$H879)),2))</f>
        <v/>
      </c>
      <c r="G879" s="25" t="str">
        <f>IF($E879="","",ROUND(MIN(Inputs!$B$10,MAX(0,$E879+$H879-$F879)),2))</f>
        <v/>
      </c>
      <c r="H879" s="25" t="str">
        <f>IF($E879="","",ROUND(IF(Inputs!$B$12="Daily Simple Interest",$E879*Inputs!$B$6/Inputs!$B$17*$D879,$E879*Inputs!$B$6/Inputs!$B$20),2))</f>
        <v/>
      </c>
      <c r="I879" s="25" t="str">
        <f t="shared" si="129"/>
        <v/>
      </c>
      <c r="J879" s="25" t="str">
        <f>IF($E879="","",IF($F879+$G879&gt;0,Inputs!$B$11,0))</f>
        <v/>
      </c>
      <c r="K879" s="25" t="str">
        <f t="shared" si="130"/>
        <v/>
      </c>
      <c r="L879" s="25" t="str">
        <f t="shared" si="131"/>
        <v/>
      </c>
      <c r="M879" s="25" t="str">
        <f t="shared" si="132"/>
        <v/>
      </c>
      <c r="N879" s="84" t="str">
        <f t="shared" si="133"/>
        <v/>
      </c>
      <c r="O879" s="23" t="str">
        <f t="shared" si="134"/>
        <v/>
      </c>
    </row>
    <row r="880" spans="1:15" ht="20" customHeight="1">
      <c r="A880" s="22" t="str">
        <f t="shared" si="135"/>
        <v/>
      </c>
      <c r="B880" s="23" t="str">
        <f>IF($E880="","",194)</f>
        <v/>
      </c>
      <c r="C880" s="24" t="str">
        <f>IF($E880="","",Inputs!$B$9+(193*Inputs!$B$21))</f>
        <v/>
      </c>
      <c r="D880" s="23" t="str">
        <f t="shared" ref="D880:D943" si="136">IF($E880="","",$C880-$C879)</f>
        <v/>
      </c>
      <c r="E880" s="25" t="str">
        <f t="shared" ref="E880:E943" si="137">IF($K879&gt;0.005,$K879,"")</f>
        <v/>
      </c>
      <c r="F880" s="25" t="str">
        <f>IF($E880="","",ROUND(MIN(Comparison!$D$5,MAX(0,$E880+$H880)),2))</f>
        <v/>
      </c>
      <c r="G880" s="25" t="str">
        <f>IF($E880="","",ROUND(MIN(Inputs!$B$10,MAX(0,$E880+$H880-$F880)),2))</f>
        <v/>
      </c>
      <c r="H880" s="25" t="str">
        <f>IF($E880="","",ROUND(IF(Inputs!$B$12="Daily Simple Interest",$E880*Inputs!$B$6/Inputs!$B$17*$D880,$E880*Inputs!$B$6/Inputs!$B$20),2))</f>
        <v/>
      </c>
      <c r="I880" s="25" t="str">
        <f t="shared" si="129"/>
        <v/>
      </c>
      <c r="J880" s="25" t="str">
        <f>IF($E880="","",IF($F880+$G880&gt;0,Inputs!$B$11,0))</f>
        <v/>
      </c>
      <c r="K880" s="25" t="str">
        <f t="shared" si="130"/>
        <v/>
      </c>
      <c r="L880" s="25" t="str">
        <f t="shared" si="131"/>
        <v/>
      </c>
      <c r="M880" s="25" t="str">
        <f t="shared" si="132"/>
        <v/>
      </c>
      <c r="N880" s="84" t="str">
        <f t="shared" si="133"/>
        <v/>
      </c>
      <c r="O880" s="23" t="str">
        <f t="shared" si="134"/>
        <v/>
      </c>
    </row>
    <row r="881" spans="1:15" ht="20" customHeight="1">
      <c r="A881" s="22" t="str">
        <f t="shared" si="135"/>
        <v/>
      </c>
      <c r="B881" s="23" t="str">
        <f>IF($E881="","",195)</f>
        <v/>
      </c>
      <c r="C881" s="24" t="str">
        <f>IF($E881="","",Inputs!$B$9+(194*Inputs!$B$21))</f>
        <v/>
      </c>
      <c r="D881" s="23" t="str">
        <f t="shared" si="136"/>
        <v/>
      </c>
      <c r="E881" s="25" t="str">
        <f t="shared" si="137"/>
        <v/>
      </c>
      <c r="F881" s="25" t="str">
        <f>IF($E881="","",ROUND(MIN(Comparison!$D$5,MAX(0,$E881+$H881)),2))</f>
        <v/>
      </c>
      <c r="G881" s="25" t="str">
        <f>IF($E881="","",ROUND(MIN(Inputs!$B$10,MAX(0,$E881+$H881-$F881)),2))</f>
        <v/>
      </c>
      <c r="H881" s="25" t="str">
        <f>IF($E881="","",ROUND(IF(Inputs!$B$12="Daily Simple Interest",$E881*Inputs!$B$6/Inputs!$B$17*$D881,$E881*Inputs!$B$6/Inputs!$B$20),2))</f>
        <v/>
      </c>
      <c r="I881" s="25" t="str">
        <f t="shared" si="129"/>
        <v/>
      </c>
      <c r="J881" s="25" t="str">
        <f>IF($E881="","",IF($F881+$G881&gt;0,Inputs!$B$11,0))</f>
        <v/>
      </c>
      <c r="K881" s="25" t="str">
        <f t="shared" si="130"/>
        <v/>
      </c>
      <c r="L881" s="25" t="str">
        <f t="shared" si="131"/>
        <v/>
      </c>
      <c r="M881" s="25" t="str">
        <f t="shared" si="132"/>
        <v/>
      </c>
      <c r="N881" s="84" t="str">
        <f t="shared" si="133"/>
        <v/>
      </c>
      <c r="O881" s="23" t="str">
        <f t="shared" si="134"/>
        <v/>
      </c>
    </row>
    <row r="882" spans="1:15" ht="20" customHeight="1">
      <c r="A882" s="22" t="str">
        <f t="shared" si="135"/>
        <v/>
      </c>
      <c r="B882" s="23" t="str">
        <f>IF($E882="","",196)</f>
        <v/>
      </c>
      <c r="C882" s="24" t="str">
        <f>IF($E882="","",Inputs!$B$9+(195*Inputs!$B$21))</f>
        <v/>
      </c>
      <c r="D882" s="23" t="str">
        <f t="shared" si="136"/>
        <v/>
      </c>
      <c r="E882" s="25" t="str">
        <f t="shared" si="137"/>
        <v/>
      </c>
      <c r="F882" s="25" t="str">
        <f>IF($E882="","",ROUND(MIN(Comparison!$D$5,MAX(0,$E882+$H882)),2))</f>
        <v/>
      </c>
      <c r="G882" s="25" t="str">
        <f>IF($E882="","",ROUND(MIN(Inputs!$B$10,MAX(0,$E882+$H882-$F882)),2))</f>
        <v/>
      </c>
      <c r="H882" s="25" t="str">
        <f>IF($E882="","",ROUND(IF(Inputs!$B$12="Daily Simple Interest",$E882*Inputs!$B$6/Inputs!$B$17*$D882,$E882*Inputs!$B$6/Inputs!$B$20),2))</f>
        <v/>
      </c>
      <c r="I882" s="25" t="str">
        <f t="shared" si="129"/>
        <v/>
      </c>
      <c r="J882" s="25" t="str">
        <f>IF($E882="","",IF($F882+$G882&gt;0,Inputs!$B$11,0))</f>
        <v/>
      </c>
      <c r="K882" s="25" t="str">
        <f t="shared" si="130"/>
        <v/>
      </c>
      <c r="L882" s="25" t="str">
        <f t="shared" si="131"/>
        <v/>
      </c>
      <c r="M882" s="25" t="str">
        <f t="shared" si="132"/>
        <v/>
      </c>
      <c r="N882" s="84" t="str">
        <f t="shared" si="133"/>
        <v/>
      </c>
      <c r="O882" s="23" t="str">
        <f t="shared" si="134"/>
        <v/>
      </c>
    </row>
    <row r="883" spans="1:15" ht="20" customHeight="1">
      <c r="A883" s="22" t="str">
        <f t="shared" si="135"/>
        <v/>
      </c>
      <c r="B883" s="23" t="str">
        <f>IF($E883="","",197)</f>
        <v/>
      </c>
      <c r="C883" s="24" t="str">
        <f>IF($E883="","",Inputs!$B$9+(196*Inputs!$B$21))</f>
        <v/>
      </c>
      <c r="D883" s="23" t="str">
        <f t="shared" si="136"/>
        <v/>
      </c>
      <c r="E883" s="25" t="str">
        <f t="shared" si="137"/>
        <v/>
      </c>
      <c r="F883" s="25" t="str">
        <f>IF($E883="","",ROUND(MIN(Comparison!$D$5,MAX(0,$E883+$H883)),2))</f>
        <v/>
      </c>
      <c r="G883" s="25" t="str">
        <f>IF($E883="","",ROUND(MIN(Inputs!$B$10,MAX(0,$E883+$H883-$F883)),2))</f>
        <v/>
      </c>
      <c r="H883" s="25" t="str">
        <f>IF($E883="","",ROUND(IF(Inputs!$B$12="Daily Simple Interest",$E883*Inputs!$B$6/Inputs!$B$17*$D883,$E883*Inputs!$B$6/Inputs!$B$20),2))</f>
        <v/>
      </c>
      <c r="I883" s="25" t="str">
        <f t="shared" si="129"/>
        <v/>
      </c>
      <c r="J883" s="25" t="str">
        <f>IF($E883="","",IF($F883+$G883&gt;0,Inputs!$B$11,0))</f>
        <v/>
      </c>
      <c r="K883" s="25" t="str">
        <f t="shared" si="130"/>
        <v/>
      </c>
      <c r="L883" s="25" t="str">
        <f t="shared" si="131"/>
        <v/>
      </c>
      <c r="M883" s="25" t="str">
        <f t="shared" si="132"/>
        <v/>
      </c>
      <c r="N883" s="84" t="str">
        <f t="shared" si="133"/>
        <v/>
      </c>
      <c r="O883" s="23" t="str">
        <f t="shared" si="134"/>
        <v/>
      </c>
    </row>
    <row r="884" spans="1:15" ht="20" customHeight="1">
      <c r="A884" s="22" t="str">
        <f t="shared" si="135"/>
        <v/>
      </c>
      <c r="B884" s="23" t="str">
        <f>IF($E884="","",198)</f>
        <v/>
      </c>
      <c r="C884" s="24" t="str">
        <f>IF($E884="","",Inputs!$B$9+(197*Inputs!$B$21))</f>
        <v/>
      </c>
      <c r="D884" s="23" t="str">
        <f t="shared" si="136"/>
        <v/>
      </c>
      <c r="E884" s="25" t="str">
        <f t="shared" si="137"/>
        <v/>
      </c>
      <c r="F884" s="25" t="str">
        <f>IF($E884="","",ROUND(MIN(Comparison!$D$5,MAX(0,$E884+$H884)),2))</f>
        <v/>
      </c>
      <c r="G884" s="25" t="str">
        <f>IF($E884="","",ROUND(MIN(Inputs!$B$10,MAX(0,$E884+$H884-$F884)),2))</f>
        <v/>
      </c>
      <c r="H884" s="25" t="str">
        <f>IF($E884="","",ROUND(IF(Inputs!$B$12="Daily Simple Interest",$E884*Inputs!$B$6/Inputs!$B$17*$D884,$E884*Inputs!$B$6/Inputs!$B$20),2))</f>
        <v/>
      </c>
      <c r="I884" s="25" t="str">
        <f t="shared" si="129"/>
        <v/>
      </c>
      <c r="J884" s="25" t="str">
        <f>IF($E884="","",IF($F884+$G884&gt;0,Inputs!$B$11,0))</f>
        <v/>
      </c>
      <c r="K884" s="25" t="str">
        <f t="shared" si="130"/>
        <v/>
      </c>
      <c r="L884" s="25" t="str">
        <f t="shared" si="131"/>
        <v/>
      </c>
      <c r="M884" s="25" t="str">
        <f t="shared" si="132"/>
        <v/>
      </c>
      <c r="N884" s="84" t="str">
        <f t="shared" si="133"/>
        <v/>
      </c>
      <c r="O884" s="23" t="str">
        <f t="shared" si="134"/>
        <v/>
      </c>
    </row>
    <row r="885" spans="1:15" ht="20" customHeight="1">
      <c r="A885" s="22" t="str">
        <f t="shared" si="135"/>
        <v/>
      </c>
      <c r="B885" s="23" t="str">
        <f>IF($E885="","",199)</f>
        <v/>
      </c>
      <c r="C885" s="24" t="str">
        <f>IF($E885="","",Inputs!$B$9+(198*Inputs!$B$21))</f>
        <v/>
      </c>
      <c r="D885" s="23" t="str">
        <f t="shared" si="136"/>
        <v/>
      </c>
      <c r="E885" s="25" t="str">
        <f t="shared" si="137"/>
        <v/>
      </c>
      <c r="F885" s="25" t="str">
        <f>IF($E885="","",ROUND(MIN(Comparison!$D$5,MAX(0,$E885+$H885)),2))</f>
        <v/>
      </c>
      <c r="G885" s="25" t="str">
        <f>IF($E885="","",ROUND(MIN(Inputs!$B$10,MAX(0,$E885+$H885-$F885)),2))</f>
        <v/>
      </c>
      <c r="H885" s="25" t="str">
        <f>IF($E885="","",ROUND(IF(Inputs!$B$12="Daily Simple Interest",$E885*Inputs!$B$6/Inputs!$B$17*$D885,$E885*Inputs!$B$6/Inputs!$B$20),2))</f>
        <v/>
      </c>
      <c r="I885" s="25" t="str">
        <f t="shared" si="129"/>
        <v/>
      </c>
      <c r="J885" s="25" t="str">
        <f>IF($E885="","",IF($F885+$G885&gt;0,Inputs!$B$11,0))</f>
        <v/>
      </c>
      <c r="K885" s="25" t="str">
        <f t="shared" si="130"/>
        <v/>
      </c>
      <c r="L885" s="25" t="str">
        <f t="shared" si="131"/>
        <v/>
      </c>
      <c r="M885" s="25" t="str">
        <f t="shared" si="132"/>
        <v/>
      </c>
      <c r="N885" s="84" t="str">
        <f t="shared" si="133"/>
        <v/>
      </c>
      <c r="O885" s="23" t="str">
        <f t="shared" si="134"/>
        <v/>
      </c>
    </row>
    <row r="886" spans="1:15" ht="20" customHeight="1">
      <c r="A886" s="22" t="str">
        <f t="shared" si="135"/>
        <v/>
      </c>
      <c r="B886" s="23" t="str">
        <f>IF($E886="","",200)</f>
        <v/>
      </c>
      <c r="C886" s="24" t="str">
        <f>IF($E886="","",Inputs!$B$9+(199*Inputs!$B$21))</f>
        <v/>
      </c>
      <c r="D886" s="23" t="str">
        <f t="shared" si="136"/>
        <v/>
      </c>
      <c r="E886" s="25" t="str">
        <f t="shared" si="137"/>
        <v/>
      </c>
      <c r="F886" s="25" t="str">
        <f>IF($E886="","",ROUND(MIN(Comparison!$D$5,MAX(0,$E886+$H886)),2))</f>
        <v/>
      </c>
      <c r="G886" s="25" t="str">
        <f>IF($E886="","",ROUND(MIN(Inputs!$B$10,MAX(0,$E886+$H886-$F886)),2))</f>
        <v/>
      </c>
      <c r="H886" s="25" t="str">
        <f>IF($E886="","",ROUND(IF(Inputs!$B$12="Daily Simple Interest",$E886*Inputs!$B$6/Inputs!$B$17*$D886,$E886*Inputs!$B$6/Inputs!$B$20),2))</f>
        <v/>
      </c>
      <c r="I886" s="25" t="str">
        <f t="shared" si="129"/>
        <v/>
      </c>
      <c r="J886" s="25" t="str">
        <f>IF($E886="","",IF($F886+$G886&gt;0,Inputs!$B$11,0))</f>
        <v/>
      </c>
      <c r="K886" s="25" t="str">
        <f t="shared" si="130"/>
        <v/>
      </c>
      <c r="L886" s="25" t="str">
        <f t="shared" si="131"/>
        <v/>
      </c>
      <c r="M886" s="25" t="str">
        <f t="shared" si="132"/>
        <v/>
      </c>
      <c r="N886" s="84" t="str">
        <f t="shared" si="133"/>
        <v/>
      </c>
      <c r="O886" s="23" t="str">
        <f t="shared" si="134"/>
        <v/>
      </c>
    </row>
    <row r="887" spans="1:15" ht="20" customHeight="1">
      <c r="A887" s="22" t="str">
        <f t="shared" si="135"/>
        <v/>
      </c>
      <c r="B887" s="23" t="str">
        <f>IF($E887="","",201)</f>
        <v/>
      </c>
      <c r="C887" s="24" t="str">
        <f>IF($E887="","",Inputs!$B$9+(200*Inputs!$B$21))</f>
        <v/>
      </c>
      <c r="D887" s="23" t="str">
        <f t="shared" si="136"/>
        <v/>
      </c>
      <c r="E887" s="25" t="str">
        <f t="shared" si="137"/>
        <v/>
      </c>
      <c r="F887" s="25" t="str">
        <f>IF($E887="","",ROUND(MIN(Comparison!$D$5,MAX(0,$E887+$H887)),2))</f>
        <v/>
      </c>
      <c r="G887" s="25" t="str">
        <f>IF($E887="","",ROUND(MIN(Inputs!$B$10,MAX(0,$E887+$H887-$F887)),2))</f>
        <v/>
      </c>
      <c r="H887" s="25" t="str">
        <f>IF($E887="","",ROUND(IF(Inputs!$B$12="Daily Simple Interest",$E887*Inputs!$B$6/Inputs!$B$17*$D887,$E887*Inputs!$B$6/Inputs!$B$20),2))</f>
        <v/>
      </c>
      <c r="I887" s="25" t="str">
        <f t="shared" si="129"/>
        <v/>
      </c>
      <c r="J887" s="25" t="str">
        <f>IF($E887="","",IF($F887+$G887&gt;0,Inputs!$B$11,0))</f>
        <v/>
      </c>
      <c r="K887" s="25" t="str">
        <f t="shared" si="130"/>
        <v/>
      </c>
      <c r="L887" s="25" t="str">
        <f t="shared" si="131"/>
        <v/>
      </c>
      <c r="M887" s="25" t="str">
        <f t="shared" si="132"/>
        <v/>
      </c>
      <c r="N887" s="84" t="str">
        <f t="shared" si="133"/>
        <v/>
      </c>
      <c r="O887" s="23" t="str">
        <f t="shared" si="134"/>
        <v/>
      </c>
    </row>
    <row r="888" spans="1:15" ht="20" customHeight="1">
      <c r="A888" s="22" t="str">
        <f t="shared" si="135"/>
        <v/>
      </c>
      <c r="B888" s="23" t="str">
        <f>IF($E888="","",202)</f>
        <v/>
      </c>
      <c r="C888" s="24" t="str">
        <f>IF($E888="","",Inputs!$B$9+(201*Inputs!$B$21))</f>
        <v/>
      </c>
      <c r="D888" s="23" t="str">
        <f t="shared" si="136"/>
        <v/>
      </c>
      <c r="E888" s="25" t="str">
        <f t="shared" si="137"/>
        <v/>
      </c>
      <c r="F888" s="25" t="str">
        <f>IF($E888="","",ROUND(MIN(Comparison!$D$5,MAX(0,$E888+$H888)),2))</f>
        <v/>
      </c>
      <c r="G888" s="25" t="str">
        <f>IF($E888="","",ROUND(MIN(Inputs!$B$10,MAX(0,$E888+$H888-$F888)),2))</f>
        <v/>
      </c>
      <c r="H888" s="25" t="str">
        <f>IF($E888="","",ROUND(IF(Inputs!$B$12="Daily Simple Interest",$E888*Inputs!$B$6/Inputs!$B$17*$D888,$E888*Inputs!$B$6/Inputs!$B$20),2))</f>
        <v/>
      </c>
      <c r="I888" s="25" t="str">
        <f t="shared" si="129"/>
        <v/>
      </c>
      <c r="J888" s="25" t="str">
        <f>IF($E888="","",IF($F888+$G888&gt;0,Inputs!$B$11,0))</f>
        <v/>
      </c>
      <c r="K888" s="25" t="str">
        <f t="shared" si="130"/>
        <v/>
      </c>
      <c r="L888" s="25" t="str">
        <f t="shared" si="131"/>
        <v/>
      </c>
      <c r="M888" s="25" t="str">
        <f t="shared" si="132"/>
        <v/>
      </c>
      <c r="N888" s="84" t="str">
        <f t="shared" si="133"/>
        <v/>
      </c>
      <c r="O888" s="23" t="str">
        <f t="shared" si="134"/>
        <v/>
      </c>
    </row>
    <row r="889" spans="1:15" ht="20" customHeight="1">
      <c r="A889" s="22" t="str">
        <f t="shared" si="135"/>
        <v/>
      </c>
      <c r="B889" s="23" t="str">
        <f>IF($E889="","",203)</f>
        <v/>
      </c>
      <c r="C889" s="24" t="str">
        <f>IF($E889="","",Inputs!$B$9+(202*Inputs!$B$21))</f>
        <v/>
      </c>
      <c r="D889" s="23" t="str">
        <f t="shared" si="136"/>
        <v/>
      </c>
      <c r="E889" s="25" t="str">
        <f t="shared" si="137"/>
        <v/>
      </c>
      <c r="F889" s="25" t="str">
        <f>IF($E889="","",ROUND(MIN(Comparison!$D$5,MAX(0,$E889+$H889)),2))</f>
        <v/>
      </c>
      <c r="G889" s="25" t="str">
        <f>IF($E889="","",ROUND(MIN(Inputs!$B$10,MAX(0,$E889+$H889-$F889)),2))</f>
        <v/>
      </c>
      <c r="H889" s="25" t="str">
        <f>IF($E889="","",ROUND(IF(Inputs!$B$12="Daily Simple Interest",$E889*Inputs!$B$6/Inputs!$B$17*$D889,$E889*Inputs!$B$6/Inputs!$B$20),2))</f>
        <v/>
      </c>
      <c r="I889" s="25" t="str">
        <f t="shared" si="129"/>
        <v/>
      </c>
      <c r="J889" s="25" t="str">
        <f>IF($E889="","",IF($F889+$G889&gt;0,Inputs!$B$11,0))</f>
        <v/>
      </c>
      <c r="K889" s="25" t="str">
        <f t="shared" si="130"/>
        <v/>
      </c>
      <c r="L889" s="25" t="str">
        <f t="shared" si="131"/>
        <v/>
      </c>
      <c r="M889" s="25" t="str">
        <f t="shared" si="132"/>
        <v/>
      </c>
      <c r="N889" s="84" t="str">
        <f t="shared" si="133"/>
        <v/>
      </c>
      <c r="O889" s="23" t="str">
        <f t="shared" si="134"/>
        <v/>
      </c>
    </row>
    <row r="890" spans="1:15" ht="20" customHeight="1">
      <c r="A890" s="22" t="str">
        <f t="shared" si="135"/>
        <v/>
      </c>
      <c r="B890" s="23" t="str">
        <f>IF($E890="","",204)</f>
        <v/>
      </c>
      <c r="C890" s="24" t="str">
        <f>IF($E890="","",Inputs!$B$9+(203*Inputs!$B$21))</f>
        <v/>
      </c>
      <c r="D890" s="23" t="str">
        <f t="shared" si="136"/>
        <v/>
      </c>
      <c r="E890" s="25" t="str">
        <f t="shared" si="137"/>
        <v/>
      </c>
      <c r="F890" s="25" t="str">
        <f>IF($E890="","",ROUND(MIN(Comparison!$D$5,MAX(0,$E890+$H890)),2))</f>
        <v/>
      </c>
      <c r="G890" s="25" t="str">
        <f>IF($E890="","",ROUND(MIN(Inputs!$B$10,MAX(0,$E890+$H890-$F890)),2))</f>
        <v/>
      </c>
      <c r="H890" s="25" t="str">
        <f>IF($E890="","",ROUND(IF(Inputs!$B$12="Daily Simple Interest",$E890*Inputs!$B$6/Inputs!$B$17*$D890,$E890*Inputs!$B$6/Inputs!$B$20),2))</f>
        <v/>
      </c>
      <c r="I890" s="25" t="str">
        <f t="shared" si="129"/>
        <v/>
      </c>
      <c r="J890" s="25" t="str">
        <f>IF($E890="","",IF($F890+$G890&gt;0,Inputs!$B$11,0))</f>
        <v/>
      </c>
      <c r="K890" s="25" t="str">
        <f t="shared" si="130"/>
        <v/>
      </c>
      <c r="L890" s="25" t="str">
        <f t="shared" si="131"/>
        <v/>
      </c>
      <c r="M890" s="25" t="str">
        <f t="shared" si="132"/>
        <v/>
      </c>
      <c r="N890" s="84" t="str">
        <f t="shared" si="133"/>
        <v/>
      </c>
      <c r="O890" s="23" t="str">
        <f t="shared" si="134"/>
        <v/>
      </c>
    </row>
    <row r="891" spans="1:15" ht="20" customHeight="1">
      <c r="A891" s="22" t="str">
        <f t="shared" si="135"/>
        <v/>
      </c>
      <c r="B891" s="23" t="str">
        <f>IF($E891="","",205)</f>
        <v/>
      </c>
      <c r="C891" s="24" t="str">
        <f>IF($E891="","",Inputs!$B$9+(204*Inputs!$B$21))</f>
        <v/>
      </c>
      <c r="D891" s="23" t="str">
        <f t="shared" si="136"/>
        <v/>
      </c>
      <c r="E891" s="25" t="str">
        <f t="shared" si="137"/>
        <v/>
      </c>
      <c r="F891" s="25" t="str">
        <f>IF($E891="","",ROUND(MIN(Comparison!$D$5,MAX(0,$E891+$H891)),2))</f>
        <v/>
      </c>
      <c r="G891" s="25" t="str">
        <f>IF($E891="","",ROUND(MIN(Inputs!$B$10,MAX(0,$E891+$H891-$F891)),2))</f>
        <v/>
      </c>
      <c r="H891" s="25" t="str">
        <f>IF($E891="","",ROUND(IF(Inputs!$B$12="Daily Simple Interest",$E891*Inputs!$B$6/Inputs!$B$17*$D891,$E891*Inputs!$B$6/Inputs!$B$20),2))</f>
        <v/>
      </c>
      <c r="I891" s="25" t="str">
        <f t="shared" si="129"/>
        <v/>
      </c>
      <c r="J891" s="25" t="str">
        <f>IF($E891="","",IF($F891+$G891&gt;0,Inputs!$B$11,0))</f>
        <v/>
      </c>
      <c r="K891" s="25" t="str">
        <f t="shared" si="130"/>
        <v/>
      </c>
      <c r="L891" s="25" t="str">
        <f t="shared" si="131"/>
        <v/>
      </c>
      <c r="M891" s="25" t="str">
        <f t="shared" si="132"/>
        <v/>
      </c>
      <c r="N891" s="84" t="str">
        <f t="shared" si="133"/>
        <v/>
      </c>
      <c r="O891" s="23" t="str">
        <f t="shared" si="134"/>
        <v/>
      </c>
    </row>
    <row r="892" spans="1:15" ht="20" customHeight="1">
      <c r="A892" s="22" t="str">
        <f t="shared" si="135"/>
        <v/>
      </c>
      <c r="B892" s="23" t="str">
        <f>IF($E892="","",206)</f>
        <v/>
      </c>
      <c r="C892" s="24" t="str">
        <f>IF($E892="","",Inputs!$B$9+(205*Inputs!$B$21))</f>
        <v/>
      </c>
      <c r="D892" s="23" t="str">
        <f t="shared" si="136"/>
        <v/>
      </c>
      <c r="E892" s="25" t="str">
        <f t="shared" si="137"/>
        <v/>
      </c>
      <c r="F892" s="25" t="str">
        <f>IF($E892="","",ROUND(MIN(Comparison!$D$5,MAX(0,$E892+$H892)),2))</f>
        <v/>
      </c>
      <c r="G892" s="25" t="str">
        <f>IF($E892="","",ROUND(MIN(Inputs!$B$10,MAX(0,$E892+$H892-$F892)),2))</f>
        <v/>
      </c>
      <c r="H892" s="25" t="str">
        <f>IF($E892="","",ROUND(IF(Inputs!$B$12="Daily Simple Interest",$E892*Inputs!$B$6/Inputs!$B$17*$D892,$E892*Inputs!$B$6/Inputs!$B$20),2))</f>
        <v/>
      </c>
      <c r="I892" s="25" t="str">
        <f t="shared" si="129"/>
        <v/>
      </c>
      <c r="J892" s="25" t="str">
        <f>IF($E892="","",IF($F892+$G892&gt;0,Inputs!$B$11,0))</f>
        <v/>
      </c>
      <c r="K892" s="25" t="str">
        <f t="shared" si="130"/>
        <v/>
      </c>
      <c r="L892" s="25" t="str">
        <f t="shared" si="131"/>
        <v/>
      </c>
      <c r="M892" s="25" t="str">
        <f t="shared" si="132"/>
        <v/>
      </c>
      <c r="N892" s="84" t="str">
        <f t="shared" si="133"/>
        <v/>
      </c>
      <c r="O892" s="23" t="str">
        <f t="shared" si="134"/>
        <v/>
      </c>
    </row>
    <row r="893" spans="1:15" ht="20" customHeight="1">
      <c r="A893" s="22" t="str">
        <f t="shared" si="135"/>
        <v/>
      </c>
      <c r="B893" s="23" t="str">
        <f>IF($E893="","",207)</f>
        <v/>
      </c>
      <c r="C893" s="24" t="str">
        <f>IF($E893="","",Inputs!$B$9+(206*Inputs!$B$21))</f>
        <v/>
      </c>
      <c r="D893" s="23" t="str">
        <f t="shared" si="136"/>
        <v/>
      </c>
      <c r="E893" s="25" t="str">
        <f t="shared" si="137"/>
        <v/>
      </c>
      <c r="F893" s="25" t="str">
        <f>IF($E893="","",ROUND(MIN(Comparison!$D$5,MAX(0,$E893+$H893)),2))</f>
        <v/>
      </c>
      <c r="G893" s="25" t="str">
        <f>IF($E893="","",ROUND(MIN(Inputs!$B$10,MAX(0,$E893+$H893-$F893)),2))</f>
        <v/>
      </c>
      <c r="H893" s="25" t="str">
        <f>IF($E893="","",ROUND(IF(Inputs!$B$12="Daily Simple Interest",$E893*Inputs!$B$6/Inputs!$B$17*$D893,$E893*Inputs!$B$6/Inputs!$B$20),2))</f>
        <v/>
      </c>
      <c r="I893" s="25" t="str">
        <f t="shared" si="129"/>
        <v/>
      </c>
      <c r="J893" s="25" t="str">
        <f>IF($E893="","",IF($F893+$G893&gt;0,Inputs!$B$11,0))</f>
        <v/>
      </c>
      <c r="K893" s="25" t="str">
        <f t="shared" si="130"/>
        <v/>
      </c>
      <c r="L893" s="25" t="str">
        <f t="shared" si="131"/>
        <v/>
      </c>
      <c r="M893" s="25" t="str">
        <f t="shared" si="132"/>
        <v/>
      </c>
      <c r="N893" s="84" t="str">
        <f t="shared" si="133"/>
        <v/>
      </c>
      <c r="O893" s="23" t="str">
        <f t="shared" si="134"/>
        <v/>
      </c>
    </row>
    <row r="894" spans="1:15" ht="20" customHeight="1">
      <c r="A894" s="22" t="str">
        <f t="shared" si="135"/>
        <v/>
      </c>
      <c r="B894" s="23" t="str">
        <f>IF($E894="","",208)</f>
        <v/>
      </c>
      <c r="C894" s="24" t="str">
        <f>IF($E894="","",Inputs!$B$9+(207*Inputs!$B$21))</f>
        <v/>
      </c>
      <c r="D894" s="23" t="str">
        <f t="shared" si="136"/>
        <v/>
      </c>
      <c r="E894" s="25" t="str">
        <f t="shared" si="137"/>
        <v/>
      </c>
      <c r="F894" s="25" t="str">
        <f>IF($E894="","",ROUND(MIN(Comparison!$D$5,MAX(0,$E894+$H894)),2))</f>
        <v/>
      </c>
      <c r="G894" s="25" t="str">
        <f>IF($E894="","",ROUND(MIN(Inputs!$B$10,MAX(0,$E894+$H894-$F894)),2))</f>
        <v/>
      </c>
      <c r="H894" s="25" t="str">
        <f>IF($E894="","",ROUND(IF(Inputs!$B$12="Daily Simple Interest",$E894*Inputs!$B$6/Inputs!$B$17*$D894,$E894*Inputs!$B$6/Inputs!$B$20),2))</f>
        <v/>
      </c>
      <c r="I894" s="25" t="str">
        <f t="shared" si="129"/>
        <v/>
      </c>
      <c r="J894" s="25" t="str">
        <f>IF($E894="","",IF($F894+$G894&gt;0,Inputs!$B$11,0))</f>
        <v/>
      </c>
      <c r="K894" s="25" t="str">
        <f t="shared" si="130"/>
        <v/>
      </c>
      <c r="L894" s="25" t="str">
        <f t="shared" si="131"/>
        <v/>
      </c>
      <c r="M894" s="25" t="str">
        <f t="shared" si="132"/>
        <v/>
      </c>
      <c r="N894" s="84" t="str">
        <f t="shared" si="133"/>
        <v/>
      </c>
      <c r="O894" s="23" t="str">
        <f t="shared" si="134"/>
        <v/>
      </c>
    </row>
    <row r="895" spans="1:15" ht="20" customHeight="1">
      <c r="A895" s="22" t="str">
        <f t="shared" si="135"/>
        <v/>
      </c>
      <c r="B895" s="23" t="str">
        <f>IF($E895="","",209)</f>
        <v/>
      </c>
      <c r="C895" s="24" t="str">
        <f>IF($E895="","",Inputs!$B$9+(208*Inputs!$B$21))</f>
        <v/>
      </c>
      <c r="D895" s="23" t="str">
        <f t="shared" si="136"/>
        <v/>
      </c>
      <c r="E895" s="25" t="str">
        <f t="shared" si="137"/>
        <v/>
      </c>
      <c r="F895" s="25" t="str">
        <f>IF($E895="","",ROUND(MIN(Comparison!$D$5,MAX(0,$E895+$H895)),2))</f>
        <v/>
      </c>
      <c r="G895" s="25" t="str">
        <f>IF($E895="","",ROUND(MIN(Inputs!$B$10,MAX(0,$E895+$H895-$F895)),2))</f>
        <v/>
      </c>
      <c r="H895" s="25" t="str">
        <f>IF($E895="","",ROUND(IF(Inputs!$B$12="Daily Simple Interest",$E895*Inputs!$B$6/Inputs!$B$17*$D895,$E895*Inputs!$B$6/Inputs!$B$20),2))</f>
        <v/>
      </c>
      <c r="I895" s="25" t="str">
        <f t="shared" si="129"/>
        <v/>
      </c>
      <c r="J895" s="25" t="str">
        <f>IF($E895="","",IF($F895+$G895&gt;0,Inputs!$B$11,0))</f>
        <v/>
      </c>
      <c r="K895" s="25" t="str">
        <f t="shared" si="130"/>
        <v/>
      </c>
      <c r="L895" s="25" t="str">
        <f t="shared" si="131"/>
        <v/>
      </c>
      <c r="M895" s="25" t="str">
        <f t="shared" si="132"/>
        <v/>
      </c>
      <c r="N895" s="84" t="str">
        <f t="shared" si="133"/>
        <v/>
      </c>
      <c r="O895" s="23" t="str">
        <f t="shared" si="134"/>
        <v/>
      </c>
    </row>
    <row r="896" spans="1:15" ht="20" customHeight="1">
      <c r="A896" s="22" t="str">
        <f t="shared" si="135"/>
        <v/>
      </c>
      <c r="B896" s="23" t="str">
        <f>IF($E896="","",210)</f>
        <v/>
      </c>
      <c r="C896" s="24" t="str">
        <f>IF($E896="","",Inputs!$B$9+(209*Inputs!$B$21))</f>
        <v/>
      </c>
      <c r="D896" s="23" t="str">
        <f t="shared" si="136"/>
        <v/>
      </c>
      <c r="E896" s="25" t="str">
        <f t="shared" si="137"/>
        <v/>
      </c>
      <c r="F896" s="25" t="str">
        <f>IF($E896="","",ROUND(MIN(Comparison!$D$5,MAX(0,$E896+$H896)),2))</f>
        <v/>
      </c>
      <c r="G896" s="25" t="str">
        <f>IF($E896="","",ROUND(MIN(Inputs!$B$10,MAX(0,$E896+$H896-$F896)),2))</f>
        <v/>
      </c>
      <c r="H896" s="25" t="str">
        <f>IF($E896="","",ROUND(IF(Inputs!$B$12="Daily Simple Interest",$E896*Inputs!$B$6/Inputs!$B$17*$D896,$E896*Inputs!$B$6/Inputs!$B$20),2))</f>
        <v/>
      </c>
      <c r="I896" s="25" t="str">
        <f t="shared" si="129"/>
        <v/>
      </c>
      <c r="J896" s="25" t="str">
        <f>IF($E896="","",IF($F896+$G896&gt;0,Inputs!$B$11,0))</f>
        <v/>
      </c>
      <c r="K896" s="25" t="str">
        <f t="shared" si="130"/>
        <v/>
      </c>
      <c r="L896" s="25" t="str">
        <f t="shared" si="131"/>
        <v/>
      </c>
      <c r="M896" s="25" t="str">
        <f t="shared" si="132"/>
        <v/>
      </c>
      <c r="N896" s="84" t="str">
        <f t="shared" si="133"/>
        <v/>
      </c>
      <c r="O896" s="23" t="str">
        <f t="shared" si="134"/>
        <v/>
      </c>
    </row>
    <row r="897" spans="1:15" ht="20" customHeight="1">
      <c r="A897" s="22" t="str">
        <f t="shared" si="135"/>
        <v/>
      </c>
      <c r="B897" s="23" t="str">
        <f>IF($E897="","",211)</f>
        <v/>
      </c>
      <c r="C897" s="24" t="str">
        <f>IF($E897="","",Inputs!$B$9+(210*Inputs!$B$21))</f>
        <v/>
      </c>
      <c r="D897" s="23" t="str">
        <f t="shared" si="136"/>
        <v/>
      </c>
      <c r="E897" s="25" t="str">
        <f t="shared" si="137"/>
        <v/>
      </c>
      <c r="F897" s="25" t="str">
        <f>IF($E897="","",ROUND(MIN(Comparison!$D$5,MAX(0,$E897+$H897)),2))</f>
        <v/>
      </c>
      <c r="G897" s="25" t="str">
        <f>IF($E897="","",ROUND(MIN(Inputs!$B$10,MAX(0,$E897+$H897-$F897)),2))</f>
        <v/>
      </c>
      <c r="H897" s="25" t="str">
        <f>IF($E897="","",ROUND(IF(Inputs!$B$12="Daily Simple Interest",$E897*Inputs!$B$6/Inputs!$B$17*$D897,$E897*Inputs!$B$6/Inputs!$B$20),2))</f>
        <v/>
      </c>
      <c r="I897" s="25" t="str">
        <f t="shared" si="129"/>
        <v/>
      </c>
      <c r="J897" s="25" t="str">
        <f>IF($E897="","",IF($F897+$G897&gt;0,Inputs!$B$11,0))</f>
        <v/>
      </c>
      <c r="K897" s="25" t="str">
        <f t="shared" si="130"/>
        <v/>
      </c>
      <c r="L897" s="25" t="str">
        <f t="shared" si="131"/>
        <v/>
      </c>
      <c r="M897" s="25" t="str">
        <f t="shared" si="132"/>
        <v/>
      </c>
      <c r="N897" s="84" t="str">
        <f t="shared" si="133"/>
        <v/>
      </c>
      <c r="O897" s="23" t="str">
        <f t="shared" si="134"/>
        <v/>
      </c>
    </row>
    <row r="898" spans="1:15" ht="20" customHeight="1">
      <c r="A898" s="22" t="str">
        <f t="shared" si="135"/>
        <v/>
      </c>
      <c r="B898" s="23" t="str">
        <f>IF($E898="","",212)</f>
        <v/>
      </c>
      <c r="C898" s="24" t="str">
        <f>IF($E898="","",Inputs!$B$9+(211*Inputs!$B$21))</f>
        <v/>
      </c>
      <c r="D898" s="23" t="str">
        <f t="shared" si="136"/>
        <v/>
      </c>
      <c r="E898" s="25" t="str">
        <f t="shared" si="137"/>
        <v/>
      </c>
      <c r="F898" s="25" t="str">
        <f>IF($E898="","",ROUND(MIN(Comparison!$D$5,MAX(0,$E898+$H898)),2))</f>
        <v/>
      </c>
      <c r="G898" s="25" t="str">
        <f>IF($E898="","",ROUND(MIN(Inputs!$B$10,MAX(0,$E898+$H898-$F898)),2))</f>
        <v/>
      </c>
      <c r="H898" s="25" t="str">
        <f>IF($E898="","",ROUND(IF(Inputs!$B$12="Daily Simple Interest",$E898*Inputs!$B$6/Inputs!$B$17*$D898,$E898*Inputs!$B$6/Inputs!$B$20),2))</f>
        <v/>
      </c>
      <c r="I898" s="25" t="str">
        <f t="shared" si="129"/>
        <v/>
      </c>
      <c r="J898" s="25" t="str">
        <f>IF($E898="","",IF($F898+$G898&gt;0,Inputs!$B$11,0))</f>
        <v/>
      </c>
      <c r="K898" s="25" t="str">
        <f t="shared" si="130"/>
        <v/>
      </c>
      <c r="L898" s="25" t="str">
        <f t="shared" si="131"/>
        <v/>
      </c>
      <c r="M898" s="25" t="str">
        <f t="shared" si="132"/>
        <v/>
      </c>
      <c r="N898" s="84" t="str">
        <f t="shared" si="133"/>
        <v/>
      </c>
      <c r="O898" s="23" t="str">
        <f t="shared" si="134"/>
        <v/>
      </c>
    </row>
    <row r="899" spans="1:15" ht="20" customHeight="1">
      <c r="A899" s="22" t="str">
        <f t="shared" si="135"/>
        <v/>
      </c>
      <c r="B899" s="23" t="str">
        <f>IF($E899="","",213)</f>
        <v/>
      </c>
      <c r="C899" s="24" t="str">
        <f>IF($E899="","",Inputs!$B$9+(212*Inputs!$B$21))</f>
        <v/>
      </c>
      <c r="D899" s="23" t="str">
        <f t="shared" si="136"/>
        <v/>
      </c>
      <c r="E899" s="25" t="str">
        <f t="shared" si="137"/>
        <v/>
      </c>
      <c r="F899" s="25" t="str">
        <f>IF($E899="","",ROUND(MIN(Comparison!$D$5,MAX(0,$E899+$H899)),2))</f>
        <v/>
      </c>
      <c r="G899" s="25" t="str">
        <f>IF($E899="","",ROUND(MIN(Inputs!$B$10,MAX(0,$E899+$H899-$F899)),2))</f>
        <v/>
      </c>
      <c r="H899" s="25" t="str">
        <f>IF($E899="","",ROUND(IF(Inputs!$B$12="Daily Simple Interest",$E899*Inputs!$B$6/Inputs!$B$17*$D899,$E899*Inputs!$B$6/Inputs!$B$20),2))</f>
        <v/>
      </c>
      <c r="I899" s="25" t="str">
        <f t="shared" si="129"/>
        <v/>
      </c>
      <c r="J899" s="25" t="str">
        <f>IF($E899="","",IF($F899+$G899&gt;0,Inputs!$B$11,0))</f>
        <v/>
      </c>
      <c r="K899" s="25" t="str">
        <f t="shared" si="130"/>
        <v/>
      </c>
      <c r="L899" s="25" t="str">
        <f t="shared" si="131"/>
        <v/>
      </c>
      <c r="M899" s="25" t="str">
        <f t="shared" si="132"/>
        <v/>
      </c>
      <c r="N899" s="84" t="str">
        <f t="shared" si="133"/>
        <v/>
      </c>
      <c r="O899" s="23" t="str">
        <f t="shared" si="134"/>
        <v/>
      </c>
    </row>
    <row r="900" spans="1:15" ht="20" customHeight="1">
      <c r="A900" s="22" t="str">
        <f t="shared" si="135"/>
        <v/>
      </c>
      <c r="B900" s="23" t="str">
        <f>IF($E900="","",214)</f>
        <v/>
      </c>
      <c r="C900" s="24" t="str">
        <f>IF($E900="","",Inputs!$B$9+(213*Inputs!$B$21))</f>
        <v/>
      </c>
      <c r="D900" s="23" t="str">
        <f t="shared" si="136"/>
        <v/>
      </c>
      <c r="E900" s="25" t="str">
        <f t="shared" si="137"/>
        <v/>
      </c>
      <c r="F900" s="25" t="str">
        <f>IF($E900="","",ROUND(MIN(Comparison!$D$5,MAX(0,$E900+$H900)),2))</f>
        <v/>
      </c>
      <c r="G900" s="25" t="str">
        <f>IF($E900="","",ROUND(MIN(Inputs!$B$10,MAX(0,$E900+$H900-$F900)),2))</f>
        <v/>
      </c>
      <c r="H900" s="25" t="str">
        <f>IF($E900="","",ROUND(IF(Inputs!$B$12="Daily Simple Interest",$E900*Inputs!$B$6/Inputs!$B$17*$D900,$E900*Inputs!$B$6/Inputs!$B$20),2))</f>
        <v/>
      </c>
      <c r="I900" s="25" t="str">
        <f t="shared" si="129"/>
        <v/>
      </c>
      <c r="J900" s="25" t="str">
        <f>IF($E900="","",IF($F900+$G900&gt;0,Inputs!$B$11,0))</f>
        <v/>
      </c>
      <c r="K900" s="25" t="str">
        <f t="shared" si="130"/>
        <v/>
      </c>
      <c r="L900" s="25" t="str">
        <f t="shared" si="131"/>
        <v/>
      </c>
      <c r="M900" s="25" t="str">
        <f t="shared" si="132"/>
        <v/>
      </c>
      <c r="N900" s="84" t="str">
        <f t="shared" si="133"/>
        <v/>
      </c>
      <c r="O900" s="23" t="str">
        <f t="shared" si="134"/>
        <v/>
      </c>
    </row>
    <row r="901" spans="1:15" ht="20" customHeight="1">
      <c r="A901" s="22" t="str">
        <f t="shared" si="135"/>
        <v/>
      </c>
      <c r="B901" s="23" t="str">
        <f>IF($E901="","",215)</f>
        <v/>
      </c>
      <c r="C901" s="24" t="str">
        <f>IF($E901="","",Inputs!$B$9+(214*Inputs!$B$21))</f>
        <v/>
      </c>
      <c r="D901" s="23" t="str">
        <f t="shared" si="136"/>
        <v/>
      </c>
      <c r="E901" s="25" t="str">
        <f t="shared" si="137"/>
        <v/>
      </c>
      <c r="F901" s="25" t="str">
        <f>IF($E901="","",ROUND(MIN(Comparison!$D$5,MAX(0,$E901+$H901)),2))</f>
        <v/>
      </c>
      <c r="G901" s="25" t="str">
        <f>IF($E901="","",ROUND(MIN(Inputs!$B$10,MAX(0,$E901+$H901-$F901)),2))</f>
        <v/>
      </c>
      <c r="H901" s="25" t="str">
        <f>IF($E901="","",ROUND(IF(Inputs!$B$12="Daily Simple Interest",$E901*Inputs!$B$6/Inputs!$B$17*$D901,$E901*Inputs!$B$6/Inputs!$B$20),2))</f>
        <v/>
      </c>
      <c r="I901" s="25" t="str">
        <f t="shared" si="129"/>
        <v/>
      </c>
      <c r="J901" s="25" t="str">
        <f>IF($E901="","",IF($F901+$G901&gt;0,Inputs!$B$11,0))</f>
        <v/>
      </c>
      <c r="K901" s="25" t="str">
        <f t="shared" si="130"/>
        <v/>
      </c>
      <c r="L901" s="25" t="str">
        <f t="shared" si="131"/>
        <v/>
      </c>
      <c r="M901" s="25" t="str">
        <f t="shared" si="132"/>
        <v/>
      </c>
      <c r="N901" s="84" t="str">
        <f t="shared" si="133"/>
        <v/>
      </c>
      <c r="O901" s="23" t="str">
        <f t="shared" si="134"/>
        <v/>
      </c>
    </row>
    <row r="902" spans="1:15" ht="20" customHeight="1">
      <c r="A902" s="22" t="str">
        <f t="shared" si="135"/>
        <v/>
      </c>
      <c r="B902" s="23" t="str">
        <f>IF($E902="","",216)</f>
        <v/>
      </c>
      <c r="C902" s="24" t="str">
        <f>IF($E902="","",Inputs!$B$9+(215*Inputs!$B$21))</f>
        <v/>
      </c>
      <c r="D902" s="23" t="str">
        <f t="shared" si="136"/>
        <v/>
      </c>
      <c r="E902" s="25" t="str">
        <f t="shared" si="137"/>
        <v/>
      </c>
      <c r="F902" s="25" t="str">
        <f>IF($E902="","",ROUND(MIN(Comparison!$D$5,MAX(0,$E902+$H902)),2))</f>
        <v/>
      </c>
      <c r="G902" s="25" t="str">
        <f>IF($E902="","",ROUND(MIN(Inputs!$B$10,MAX(0,$E902+$H902-$F902)),2))</f>
        <v/>
      </c>
      <c r="H902" s="25" t="str">
        <f>IF($E902="","",ROUND(IF(Inputs!$B$12="Daily Simple Interest",$E902*Inputs!$B$6/Inputs!$B$17*$D902,$E902*Inputs!$B$6/Inputs!$B$20),2))</f>
        <v/>
      </c>
      <c r="I902" s="25" t="str">
        <f t="shared" si="129"/>
        <v/>
      </c>
      <c r="J902" s="25" t="str">
        <f>IF($E902="","",IF($F902+$G902&gt;0,Inputs!$B$11,0))</f>
        <v/>
      </c>
      <c r="K902" s="25" t="str">
        <f t="shared" si="130"/>
        <v/>
      </c>
      <c r="L902" s="25" t="str">
        <f t="shared" si="131"/>
        <v/>
      </c>
      <c r="M902" s="25" t="str">
        <f t="shared" si="132"/>
        <v/>
      </c>
      <c r="N902" s="84" t="str">
        <f t="shared" si="133"/>
        <v/>
      </c>
      <c r="O902" s="23" t="str">
        <f t="shared" si="134"/>
        <v/>
      </c>
    </row>
    <row r="903" spans="1:15" ht="20" customHeight="1">
      <c r="A903" s="22" t="str">
        <f t="shared" si="135"/>
        <v/>
      </c>
      <c r="B903" s="23" t="str">
        <f>IF($E903="","",217)</f>
        <v/>
      </c>
      <c r="C903" s="24" t="str">
        <f>IF($E903="","",Inputs!$B$9+(216*Inputs!$B$21))</f>
        <v/>
      </c>
      <c r="D903" s="23" t="str">
        <f t="shared" si="136"/>
        <v/>
      </c>
      <c r="E903" s="25" t="str">
        <f t="shared" si="137"/>
        <v/>
      </c>
      <c r="F903" s="25" t="str">
        <f>IF($E903="","",ROUND(MIN(Comparison!$D$5,MAX(0,$E903+$H903)),2))</f>
        <v/>
      </c>
      <c r="G903" s="25" t="str">
        <f>IF($E903="","",ROUND(MIN(Inputs!$B$10,MAX(0,$E903+$H903-$F903)),2))</f>
        <v/>
      </c>
      <c r="H903" s="25" t="str">
        <f>IF($E903="","",ROUND(IF(Inputs!$B$12="Daily Simple Interest",$E903*Inputs!$B$6/Inputs!$B$17*$D903,$E903*Inputs!$B$6/Inputs!$B$20),2))</f>
        <v/>
      </c>
      <c r="I903" s="25" t="str">
        <f t="shared" ref="I903:I966" si="138">IF($E903="","",ROUND($F903+$G903-$H903,2))</f>
        <v/>
      </c>
      <c r="J903" s="25" t="str">
        <f>IF($E903="","",IF($F903+$G903&gt;0,Inputs!$B$11,0))</f>
        <v/>
      </c>
      <c r="K903" s="25" t="str">
        <f t="shared" ref="K903:K966" si="139">IF($E903="","",ROUND(MAX(0,$E903-$I903),2))</f>
        <v/>
      </c>
      <c r="L903" s="25" t="str">
        <f t="shared" ref="L903:L966" si="140">IF($E903="","",$F903+$G903)</f>
        <v/>
      </c>
      <c r="M903" s="25" t="str">
        <f t="shared" ref="M903:M966" si="141">IF($E903="","",0)</f>
        <v/>
      </c>
      <c r="N903" s="84" t="str">
        <f t="shared" ref="N903:N966" si="142">IF($E903="","",IF($K903&lt;=0.005,"PAID OFF","ACTIVE"))</f>
        <v/>
      </c>
      <c r="O903" s="23" t="str">
        <f t="shared" ref="O903:O966" si="143">IF($E903="","",IF($F903+$G903&gt;0,1,0))</f>
        <v/>
      </c>
    </row>
    <row r="904" spans="1:15" ht="20" customHeight="1">
      <c r="A904" s="22" t="str">
        <f t="shared" si="135"/>
        <v/>
      </c>
      <c r="B904" s="23" t="str">
        <f>IF($E904="","",218)</f>
        <v/>
      </c>
      <c r="C904" s="24" t="str">
        <f>IF($E904="","",Inputs!$B$9+(217*Inputs!$B$21))</f>
        <v/>
      </c>
      <c r="D904" s="23" t="str">
        <f t="shared" si="136"/>
        <v/>
      </c>
      <c r="E904" s="25" t="str">
        <f t="shared" si="137"/>
        <v/>
      </c>
      <c r="F904" s="25" t="str">
        <f>IF($E904="","",ROUND(MIN(Comparison!$D$5,MAX(0,$E904+$H904)),2))</f>
        <v/>
      </c>
      <c r="G904" s="25" t="str">
        <f>IF($E904="","",ROUND(MIN(Inputs!$B$10,MAX(0,$E904+$H904-$F904)),2))</f>
        <v/>
      </c>
      <c r="H904" s="25" t="str">
        <f>IF($E904="","",ROUND(IF(Inputs!$B$12="Daily Simple Interest",$E904*Inputs!$B$6/Inputs!$B$17*$D904,$E904*Inputs!$B$6/Inputs!$B$20),2))</f>
        <v/>
      </c>
      <c r="I904" s="25" t="str">
        <f t="shared" si="138"/>
        <v/>
      </c>
      <c r="J904" s="25" t="str">
        <f>IF($E904="","",IF($F904+$G904&gt;0,Inputs!$B$11,0))</f>
        <v/>
      </c>
      <c r="K904" s="25" t="str">
        <f t="shared" si="139"/>
        <v/>
      </c>
      <c r="L904" s="25" t="str">
        <f t="shared" si="140"/>
        <v/>
      </c>
      <c r="M904" s="25" t="str">
        <f t="shared" si="141"/>
        <v/>
      </c>
      <c r="N904" s="84" t="str">
        <f t="shared" si="142"/>
        <v/>
      </c>
      <c r="O904" s="23" t="str">
        <f t="shared" si="143"/>
        <v/>
      </c>
    </row>
    <row r="905" spans="1:15" ht="20" customHeight="1">
      <c r="A905" s="22" t="str">
        <f t="shared" si="135"/>
        <v/>
      </c>
      <c r="B905" s="23" t="str">
        <f>IF($E905="","",219)</f>
        <v/>
      </c>
      <c r="C905" s="24" t="str">
        <f>IF($E905="","",Inputs!$B$9+(218*Inputs!$B$21))</f>
        <v/>
      </c>
      <c r="D905" s="23" t="str">
        <f t="shared" si="136"/>
        <v/>
      </c>
      <c r="E905" s="25" t="str">
        <f t="shared" si="137"/>
        <v/>
      </c>
      <c r="F905" s="25" t="str">
        <f>IF($E905="","",ROUND(MIN(Comparison!$D$5,MAX(0,$E905+$H905)),2))</f>
        <v/>
      </c>
      <c r="G905" s="25" t="str">
        <f>IF($E905="","",ROUND(MIN(Inputs!$B$10,MAX(0,$E905+$H905-$F905)),2))</f>
        <v/>
      </c>
      <c r="H905" s="25" t="str">
        <f>IF($E905="","",ROUND(IF(Inputs!$B$12="Daily Simple Interest",$E905*Inputs!$B$6/Inputs!$B$17*$D905,$E905*Inputs!$B$6/Inputs!$B$20),2))</f>
        <v/>
      </c>
      <c r="I905" s="25" t="str">
        <f t="shared" si="138"/>
        <v/>
      </c>
      <c r="J905" s="25" t="str">
        <f>IF($E905="","",IF($F905+$G905&gt;0,Inputs!$B$11,0))</f>
        <v/>
      </c>
      <c r="K905" s="25" t="str">
        <f t="shared" si="139"/>
        <v/>
      </c>
      <c r="L905" s="25" t="str">
        <f t="shared" si="140"/>
        <v/>
      </c>
      <c r="M905" s="25" t="str">
        <f t="shared" si="141"/>
        <v/>
      </c>
      <c r="N905" s="84" t="str">
        <f t="shared" si="142"/>
        <v/>
      </c>
      <c r="O905" s="23" t="str">
        <f t="shared" si="143"/>
        <v/>
      </c>
    </row>
    <row r="906" spans="1:15" ht="20" customHeight="1">
      <c r="A906" s="22" t="str">
        <f t="shared" si="135"/>
        <v/>
      </c>
      <c r="B906" s="23" t="str">
        <f>IF($E906="","",220)</f>
        <v/>
      </c>
      <c r="C906" s="24" t="str">
        <f>IF($E906="","",Inputs!$B$9+(219*Inputs!$B$21))</f>
        <v/>
      </c>
      <c r="D906" s="23" t="str">
        <f t="shared" si="136"/>
        <v/>
      </c>
      <c r="E906" s="25" t="str">
        <f t="shared" si="137"/>
        <v/>
      </c>
      <c r="F906" s="25" t="str">
        <f>IF($E906="","",ROUND(MIN(Comparison!$D$5,MAX(0,$E906+$H906)),2))</f>
        <v/>
      </c>
      <c r="G906" s="25" t="str">
        <f>IF($E906="","",ROUND(MIN(Inputs!$B$10,MAX(0,$E906+$H906-$F906)),2))</f>
        <v/>
      </c>
      <c r="H906" s="25" t="str">
        <f>IF($E906="","",ROUND(IF(Inputs!$B$12="Daily Simple Interest",$E906*Inputs!$B$6/Inputs!$B$17*$D906,$E906*Inputs!$B$6/Inputs!$B$20),2))</f>
        <v/>
      </c>
      <c r="I906" s="25" t="str">
        <f t="shared" si="138"/>
        <v/>
      </c>
      <c r="J906" s="25" t="str">
        <f>IF($E906="","",IF($F906+$G906&gt;0,Inputs!$B$11,0))</f>
        <v/>
      </c>
      <c r="K906" s="25" t="str">
        <f t="shared" si="139"/>
        <v/>
      </c>
      <c r="L906" s="25" t="str">
        <f t="shared" si="140"/>
        <v/>
      </c>
      <c r="M906" s="25" t="str">
        <f t="shared" si="141"/>
        <v/>
      </c>
      <c r="N906" s="84" t="str">
        <f t="shared" si="142"/>
        <v/>
      </c>
      <c r="O906" s="23" t="str">
        <f t="shared" si="143"/>
        <v/>
      </c>
    </row>
    <row r="907" spans="1:15" ht="20" customHeight="1">
      <c r="A907" s="22" t="str">
        <f t="shared" si="135"/>
        <v/>
      </c>
      <c r="B907" s="23" t="str">
        <f>IF($E907="","",221)</f>
        <v/>
      </c>
      <c r="C907" s="24" t="str">
        <f>IF($E907="","",Inputs!$B$9+(220*Inputs!$B$21))</f>
        <v/>
      </c>
      <c r="D907" s="23" t="str">
        <f t="shared" si="136"/>
        <v/>
      </c>
      <c r="E907" s="25" t="str">
        <f t="shared" si="137"/>
        <v/>
      </c>
      <c r="F907" s="25" t="str">
        <f>IF($E907="","",ROUND(MIN(Comparison!$D$5,MAX(0,$E907+$H907)),2))</f>
        <v/>
      </c>
      <c r="G907" s="25" t="str">
        <f>IF($E907="","",ROUND(MIN(Inputs!$B$10,MAX(0,$E907+$H907-$F907)),2))</f>
        <v/>
      </c>
      <c r="H907" s="25" t="str">
        <f>IF($E907="","",ROUND(IF(Inputs!$B$12="Daily Simple Interest",$E907*Inputs!$B$6/Inputs!$B$17*$D907,$E907*Inputs!$B$6/Inputs!$B$20),2))</f>
        <v/>
      </c>
      <c r="I907" s="25" t="str">
        <f t="shared" si="138"/>
        <v/>
      </c>
      <c r="J907" s="25" t="str">
        <f>IF($E907="","",IF($F907+$G907&gt;0,Inputs!$B$11,0))</f>
        <v/>
      </c>
      <c r="K907" s="25" t="str">
        <f t="shared" si="139"/>
        <v/>
      </c>
      <c r="L907" s="25" t="str">
        <f t="shared" si="140"/>
        <v/>
      </c>
      <c r="M907" s="25" t="str">
        <f t="shared" si="141"/>
        <v/>
      </c>
      <c r="N907" s="84" t="str">
        <f t="shared" si="142"/>
        <v/>
      </c>
      <c r="O907" s="23" t="str">
        <f t="shared" si="143"/>
        <v/>
      </c>
    </row>
    <row r="908" spans="1:15" ht="20" customHeight="1">
      <c r="A908" s="22" t="str">
        <f t="shared" si="135"/>
        <v/>
      </c>
      <c r="B908" s="23" t="str">
        <f>IF($E908="","",222)</f>
        <v/>
      </c>
      <c r="C908" s="24" t="str">
        <f>IF($E908="","",Inputs!$B$9+(221*Inputs!$B$21))</f>
        <v/>
      </c>
      <c r="D908" s="23" t="str">
        <f t="shared" si="136"/>
        <v/>
      </c>
      <c r="E908" s="25" t="str">
        <f t="shared" si="137"/>
        <v/>
      </c>
      <c r="F908" s="25" t="str">
        <f>IF($E908="","",ROUND(MIN(Comparison!$D$5,MAX(0,$E908+$H908)),2))</f>
        <v/>
      </c>
      <c r="G908" s="25" t="str">
        <f>IF($E908="","",ROUND(MIN(Inputs!$B$10,MAX(0,$E908+$H908-$F908)),2))</f>
        <v/>
      </c>
      <c r="H908" s="25" t="str">
        <f>IF($E908="","",ROUND(IF(Inputs!$B$12="Daily Simple Interest",$E908*Inputs!$B$6/Inputs!$B$17*$D908,$E908*Inputs!$B$6/Inputs!$B$20),2))</f>
        <v/>
      </c>
      <c r="I908" s="25" t="str">
        <f t="shared" si="138"/>
        <v/>
      </c>
      <c r="J908" s="25" t="str">
        <f>IF($E908="","",IF($F908+$G908&gt;0,Inputs!$B$11,0))</f>
        <v/>
      </c>
      <c r="K908" s="25" t="str">
        <f t="shared" si="139"/>
        <v/>
      </c>
      <c r="L908" s="25" t="str">
        <f t="shared" si="140"/>
        <v/>
      </c>
      <c r="M908" s="25" t="str">
        <f t="shared" si="141"/>
        <v/>
      </c>
      <c r="N908" s="84" t="str">
        <f t="shared" si="142"/>
        <v/>
      </c>
      <c r="O908" s="23" t="str">
        <f t="shared" si="143"/>
        <v/>
      </c>
    </row>
    <row r="909" spans="1:15" ht="20" customHeight="1">
      <c r="A909" s="22" t="str">
        <f t="shared" si="135"/>
        <v/>
      </c>
      <c r="B909" s="23" t="str">
        <f>IF($E909="","",223)</f>
        <v/>
      </c>
      <c r="C909" s="24" t="str">
        <f>IF($E909="","",Inputs!$B$9+(222*Inputs!$B$21))</f>
        <v/>
      </c>
      <c r="D909" s="23" t="str">
        <f t="shared" si="136"/>
        <v/>
      </c>
      <c r="E909" s="25" t="str">
        <f t="shared" si="137"/>
        <v/>
      </c>
      <c r="F909" s="25" t="str">
        <f>IF($E909="","",ROUND(MIN(Comparison!$D$5,MAX(0,$E909+$H909)),2))</f>
        <v/>
      </c>
      <c r="G909" s="25" t="str">
        <f>IF($E909="","",ROUND(MIN(Inputs!$B$10,MAX(0,$E909+$H909-$F909)),2))</f>
        <v/>
      </c>
      <c r="H909" s="25" t="str">
        <f>IF($E909="","",ROUND(IF(Inputs!$B$12="Daily Simple Interest",$E909*Inputs!$B$6/Inputs!$B$17*$D909,$E909*Inputs!$B$6/Inputs!$B$20),2))</f>
        <v/>
      </c>
      <c r="I909" s="25" t="str">
        <f t="shared" si="138"/>
        <v/>
      </c>
      <c r="J909" s="25" t="str">
        <f>IF($E909="","",IF($F909+$G909&gt;0,Inputs!$B$11,0))</f>
        <v/>
      </c>
      <c r="K909" s="25" t="str">
        <f t="shared" si="139"/>
        <v/>
      </c>
      <c r="L909" s="25" t="str">
        <f t="shared" si="140"/>
        <v/>
      </c>
      <c r="M909" s="25" t="str">
        <f t="shared" si="141"/>
        <v/>
      </c>
      <c r="N909" s="84" t="str">
        <f t="shared" si="142"/>
        <v/>
      </c>
      <c r="O909" s="23" t="str">
        <f t="shared" si="143"/>
        <v/>
      </c>
    </row>
    <row r="910" spans="1:15" ht="20" customHeight="1">
      <c r="A910" s="22" t="str">
        <f t="shared" si="135"/>
        <v/>
      </c>
      <c r="B910" s="23" t="str">
        <f>IF($E910="","",224)</f>
        <v/>
      </c>
      <c r="C910" s="24" t="str">
        <f>IF($E910="","",Inputs!$B$9+(223*Inputs!$B$21))</f>
        <v/>
      </c>
      <c r="D910" s="23" t="str">
        <f t="shared" si="136"/>
        <v/>
      </c>
      <c r="E910" s="25" t="str">
        <f t="shared" si="137"/>
        <v/>
      </c>
      <c r="F910" s="25" t="str">
        <f>IF($E910="","",ROUND(MIN(Comparison!$D$5,MAX(0,$E910+$H910)),2))</f>
        <v/>
      </c>
      <c r="G910" s="25" t="str">
        <f>IF($E910="","",ROUND(MIN(Inputs!$B$10,MAX(0,$E910+$H910-$F910)),2))</f>
        <v/>
      </c>
      <c r="H910" s="25" t="str">
        <f>IF($E910="","",ROUND(IF(Inputs!$B$12="Daily Simple Interest",$E910*Inputs!$B$6/Inputs!$B$17*$D910,$E910*Inputs!$B$6/Inputs!$B$20),2))</f>
        <v/>
      </c>
      <c r="I910" s="25" t="str">
        <f t="shared" si="138"/>
        <v/>
      </c>
      <c r="J910" s="25" t="str">
        <f>IF($E910="","",IF($F910+$G910&gt;0,Inputs!$B$11,0))</f>
        <v/>
      </c>
      <c r="K910" s="25" t="str">
        <f t="shared" si="139"/>
        <v/>
      </c>
      <c r="L910" s="25" t="str">
        <f t="shared" si="140"/>
        <v/>
      </c>
      <c r="M910" s="25" t="str">
        <f t="shared" si="141"/>
        <v/>
      </c>
      <c r="N910" s="84" t="str">
        <f t="shared" si="142"/>
        <v/>
      </c>
      <c r="O910" s="23" t="str">
        <f t="shared" si="143"/>
        <v/>
      </c>
    </row>
    <row r="911" spans="1:15" ht="20" customHeight="1">
      <c r="A911" s="22" t="str">
        <f t="shared" si="135"/>
        <v/>
      </c>
      <c r="B911" s="23" t="str">
        <f>IF($E911="","",225)</f>
        <v/>
      </c>
      <c r="C911" s="24" t="str">
        <f>IF($E911="","",Inputs!$B$9+(224*Inputs!$B$21))</f>
        <v/>
      </c>
      <c r="D911" s="23" t="str">
        <f t="shared" si="136"/>
        <v/>
      </c>
      <c r="E911" s="25" t="str">
        <f t="shared" si="137"/>
        <v/>
      </c>
      <c r="F911" s="25" t="str">
        <f>IF($E911="","",ROUND(MIN(Comparison!$D$5,MAX(0,$E911+$H911)),2))</f>
        <v/>
      </c>
      <c r="G911" s="25" t="str">
        <f>IF($E911="","",ROUND(MIN(Inputs!$B$10,MAX(0,$E911+$H911-$F911)),2))</f>
        <v/>
      </c>
      <c r="H911" s="25" t="str">
        <f>IF($E911="","",ROUND(IF(Inputs!$B$12="Daily Simple Interest",$E911*Inputs!$B$6/Inputs!$B$17*$D911,$E911*Inputs!$B$6/Inputs!$B$20),2))</f>
        <v/>
      </c>
      <c r="I911" s="25" t="str">
        <f t="shared" si="138"/>
        <v/>
      </c>
      <c r="J911" s="25" t="str">
        <f>IF($E911="","",IF($F911+$G911&gt;0,Inputs!$B$11,0))</f>
        <v/>
      </c>
      <c r="K911" s="25" t="str">
        <f t="shared" si="139"/>
        <v/>
      </c>
      <c r="L911" s="25" t="str">
        <f t="shared" si="140"/>
        <v/>
      </c>
      <c r="M911" s="25" t="str">
        <f t="shared" si="141"/>
        <v/>
      </c>
      <c r="N911" s="84" t="str">
        <f t="shared" si="142"/>
        <v/>
      </c>
      <c r="O911" s="23" t="str">
        <f t="shared" si="143"/>
        <v/>
      </c>
    </row>
    <row r="912" spans="1:15" ht="20" customHeight="1">
      <c r="A912" s="22" t="str">
        <f t="shared" si="135"/>
        <v/>
      </c>
      <c r="B912" s="23" t="str">
        <f>IF($E912="","",226)</f>
        <v/>
      </c>
      <c r="C912" s="24" t="str">
        <f>IF($E912="","",Inputs!$B$9+(225*Inputs!$B$21))</f>
        <v/>
      </c>
      <c r="D912" s="23" t="str">
        <f t="shared" si="136"/>
        <v/>
      </c>
      <c r="E912" s="25" t="str">
        <f t="shared" si="137"/>
        <v/>
      </c>
      <c r="F912" s="25" t="str">
        <f>IF($E912="","",ROUND(MIN(Comparison!$D$5,MAX(0,$E912+$H912)),2))</f>
        <v/>
      </c>
      <c r="G912" s="25" t="str">
        <f>IF($E912="","",ROUND(MIN(Inputs!$B$10,MAX(0,$E912+$H912-$F912)),2))</f>
        <v/>
      </c>
      <c r="H912" s="25" t="str">
        <f>IF($E912="","",ROUND(IF(Inputs!$B$12="Daily Simple Interest",$E912*Inputs!$B$6/Inputs!$B$17*$D912,$E912*Inputs!$B$6/Inputs!$B$20),2))</f>
        <v/>
      </c>
      <c r="I912" s="25" t="str">
        <f t="shared" si="138"/>
        <v/>
      </c>
      <c r="J912" s="25" t="str">
        <f>IF($E912="","",IF($F912+$G912&gt;0,Inputs!$B$11,0))</f>
        <v/>
      </c>
      <c r="K912" s="25" t="str">
        <f t="shared" si="139"/>
        <v/>
      </c>
      <c r="L912" s="25" t="str">
        <f t="shared" si="140"/>
        <v/>
      </c>
      <c r="M912" s="25" t="str">
        <f t="shared" si="141"/>
        <v/>
      </c>
      <c r="N912" s="84" t="str">
        <f t="shared" si="142"/>
        <v/>
      </c>
      <c r="O912" s="23" t="str">
        <f t="shared" si="143"/>
        <v/>
      </c>
    </row>
    <row r="913" spans="1:15" ht="20" customHeight="1">
      <c r="A913" s="22" t="str">
        <f t="shared" si="135"/>
        <v/>
      </c>
      <c r="B913" s="23" t="str">
        <f>IF($E913="","",227)</f>
        <v/>
      </c>
      <c r="C913" s="24" t="str">
        <f>IF($E913="","",Inputs!$B$9+(226*Inputs!$B$21))</f>
        <v/>
      </c>
      <c r="D913" s="23" t="str">
        <f t="shared" si="136"/>
        <v/>
      </c>
      <c r="E913" s="25" t="str">
        <f t="shared" si="137"/>
        <v/>
      </c>
      <c r="F913" s="25" t="str">
        <f>IF($E913="","",ROUND(MIN(Comparison!$D$5,MAX(0,$E913+$H913)),2))</f>
        <v/>
      </c>
      <c r="G913" s="25" t="str">
        <f>IF($E913="","",ROUND(MIN(Inputs!$B$10,MAX(0,$E913+$H913-$F913)),2))</f>
        <v/>
      </c>
      <c r="H913" s="25" t="str">
        <f>IF($E913="","",ROUND(IF(Inputs!$B$12="Daily Simple Interest",$E913*Inputs!$B$6/Inputs!$B$17*$D913,$E913*Inputs!$B$6/Inputs!$B$20),2))</f>
        <v/>
      </c>
      <c r="I913" s="25" t="str">
        <f t="shared" si="138"/>
        <v/>
      </c>
      <c r="J913" s="25" t="str">
        <f>IF($E913="","",IF($F913+$G913&gt;0,Inputs!$B$11,0))</f>
        <v/>
      </c>
      <c r="K913" s="25" t="str">
        <f t="shared" si="139"/>
        <v/>
      </c>
      <c r="L913" s="25" t="str">
        <f t="shared" si="140"/>
        <v/>
      </c>
      <c r="M913" s="25" t="str">
        <f t="shared" si="141"/>
        <v/>
      </c>
      <c r="N913" s="84" t="str">
        <f t="shared" si="142"/>
        <v/>
      </c>
      <c r="O913" s="23" t="str">
        <f t="shared" si="143"/>
        <v/>
      </c>
    </row>
    <row r="914" spans="1:15" ht="20" customHeight="1">
      <c r="A914" s="22" t="str">
        <f t="shared" si="135"/>
        <v/>
      </c>
      <c r="B914" s="23" t="str">
        <f>IF($E914="","",228)</f>
        <v/>
      </c>
      <c r="C914" s="24" t="str">
        <f>IF($E914="","",Inputs!$B$9+(227*Inputs!$B$21))</f>
        <v/>
      </c>
      <c r="D914" s="23" t="str">
        <f t="shared" si="136"/>
        <v/>
      </c>
      <c r="E914" s="25" t="str">
        <f t="shared" si="137"/>
        <v/>
      </c>
      <c r="F914" s="25" t="str">
        <f>IF($E914="","",ROUND(MIN(Comparison!$D$5,MAX(0,$E914+$H914)),2))</f>
        <v/>
      </c>
      <c r="G914" s="25" t="str">
        <f>IF($E914="","",ROUND(MIN(Inputs!$B$10,MAX(0,$E914+$H914-$F914)),2))</f>
        <v/>
      </c>
      <c r="H914" s="25" t="str">
        <f>IF($E914="","",ROUND(IF(Inputs!$B$12="Daily Simple Interest",$E914*Inputs!$B$6/Inputs!$B$17*$D914,$E914*Inputs!$B$6/Inputs!$B$20),2))</f>
        <v/>
      </c>
      <c r="I914" s="25" t="str">
        <f t="shared" si="138"/>
        <v/>
      </c>
      <c r="J914" s="25" t="str">
        <f>IF($E914="","",IF($F914+$G914&gt;0,Inputs!$B$11,0))</f>
        <v/>
      </c>
      <c r="K914" s="25" t="str">
        <f t="shared" si="139"/>
        <v/>
      </c>
      <c r="L914" s="25" t="str">
        <f t="shared" si="140"/>
        <v/>
      </c>
      <c r="M914" s="25" t="str">
        <f t="shared" si="141"/>
        <v/>
      </c>
      <c r="N914" s="84" t="str">
        <f t="shared" si="142"/>
        <v/>
      </c>
      <c r="O914" s="23" t="str">
        <f t="shared" si="143"/>
        <v/>
      </c>
    </row>
    <row r="915" spans="1:15" ht="20" customHeight="1">
      <c r="A915" s="22" t="str">
        <f t="shared" si="135"/>
        <v/>
      </c>
      <c r="B915" s="23" t="str">
        <f>IF($E915="","",229)</f>
        <v/>
      </c>
      <c r="C915" s="24" t="str">
        <f>IF($E915="","",Inputs!$B$9+(228*Inputs!$B$21))</f>
        <v/>
      </c>
      <c r="D915" s="23" t="str">
        <f t="shared" si="136"/>
        <v/>
      </c>
      <c r="E915" s="25" t="str">
        <f t="shared" si="137"/>
        <v/>
      </c>
      <c r="F915" s="25" t="str">
        <f>IF($E915="","",ROUND(MIN(Comparison!$D$5,MAX(0,$E915+$H915)),2))</f>
        <v/>
      </c>
      <c r="G915" s="25" t="str">
        <f>IF($E915="","",ROUND(MIN(Inputs!$B$10,MAX(0,$E915+$H915-$F915)),2))</f>
        <v/>
      </c>
      <c r="H915" s="25" t="str">
        <f>IF($E915="","",ROUND(IF(Inputs!$B$12="Daily Simple Interest",$E915*Inputs!$B$6/Inputs!$B$17*$D915,$E915*Inputs!$B$6/Inputs!$B$20),2))</f>
        <v/>
      </c>
      <c r="I915" s="25" t="str">
        <f t="shared" si="138"/>
        <v/>
      </c>
      <c r="J915" s="25" t="str">
        <f>IF($E915="","",IF($F915+$G915&gt;0,Inputs!$B$11,0))</f>
        <v/>
      </c>
      <c r="K915" s="25" t="str">
        <f t="shared" si="139"/>
        <v/>
      </c>
      <c r="L915" s="25" t="str">
        <f t="shared" si="140"/>
        <v/>
      </c>
      <c r="M915" s="25" t="str">
        <f t="shared" si="141"/>
        <v/>
      </c>
      <c r="N915" s="84" t="str">
        <f t="shared" si="142"/>
        <v/>
      </c>
      <c r="O915" s="23" t="str">
        <f t="shared" si="143"/>
        <v/>
      </c>
    </row>
    <row r="916" spans="1:15" ht="20" customHeight="1">
      <c r="A916" s="22" t="str">
        <f t="shared" si="135"/>
        <v/>
      </c>
      <c r="B916" s="23" t="str">
        <f>IF($E916="","",230)</f>
        <v/>
      </c>
      <c r="C916" s="24" t="str">
        <f>IF($E916="","",Inputs!$B$9+(229*Inputs!$B$21))</f>
        <v/>
      </c>
      <c r="D916" s="23" t="str">
        <f t="shared" si="136"/>
        <v/>
      </c>
      <c r="E916" s="25" t="str">
        <f t="shared" si="137"/>
        <v/>
      </c>
      <c r="F916" s="25" t="str">
        <f>IF($E916="","",ROUND(MIN(Comparison!$D$5,MAX(0,$E916+$H916)),2))</f>
        <v/>
      </c>
      <c r="G916" s="25" t="str">
        <f>IF($E916="","",ROUND(MIN(Inputs!$B$10,MAX(0,$E916+$H916-$F916)),2))</f>
        <v/>
      </c>
      <c r="H916" s="25" t="str">
        <f>IF($E916="","",ROUND(IF(Inputs!$B$12="Daily Simple Interest",$E916*Inputs!$B$6/Inputs!$B$17*$D916,$E916*Inputs!$B$6/Inputs!$B$20),2))</f>
        <v/>
      </c>
      <c r="I916" s="25" t="str">
        <f t="shared" si="138"/>
        <v/>
      </c>
      <c r="J916" s="25" t="str">
        <f>IF($E916="","",IF($F916+$G916&gt;0,Inputs!$B$11,0))</f>
        <v/>
      </c>
      <c r="K916" s="25" t="str">
        <f t="shared" si="139"/>
        <v/>
      </c>
      <c r="L916" s="25" t="str">
        <f t="shared" si="140"/>
        <v/>
      </c>
      <c r="M916" s="25" t="str">
        <f t="shared" si="141"/>
        <v/>
      </c>
      <c r="N916" s="84" t="str">
        <f t="shared" si="142"/>
        <v/>
      </c>
      <c r="O916" s="23" t="str">
        <f t="shared" si="143"/>
        <v/>
      </c>
    </row>
    <row r="917" spans="1:15" ht="20" customHeight="1">
      <c r="A917" s="22" t="str">
        <f t="shared" si="135"/>
        <v/>
      </c>
      <c r="B917" s="23" t="str">
        <f>IF($E917="","",231)</f>
        <v/>
      </c>
      <c r="C917" s="24" t="str">
        <f>IF($E917="","",Inputs!$B$9+(230*Inputs!$B$21))</f>
        <v/>
      </c>
      <c r="D917" s="23" t="str">
        <f t="shared" si="136"/>
        <v/>
      </c>
      <c r="E917" s="25" t="str">
        <f t="shared" si="137"/>
        <v/>
      </c>
      <c r="F917" s="25" t="str">
        <f>IF($E917="","",ROUND(MIN(Comparison!$D$5,MAX(0,$E917+$H917)),2))</f>
        <v/>
      </c>
      <c r="G917" s="25" t="str">
        <f>IF($E917="","",ROUND(MIN(Inputs!$B$10,MAX(0,$E917+$H917-$F917)),2))</f>
        <v/>
      </c>
      <c r="H917" s="25" t="str">
        <f>IF($E917="","",ROUND(IF(Inputs!$B$12="Daily Simple Interest",$E917*Inputs!$B$6/Inputs!$B$17*$D917,$E917*Inputs!$B$6/Inputs!$B$20),2))</f>
        <v/>
      </c>
      <c r="I917" s="25" t="str">
        <f t="shared" si="138"/>
        <v/>
      </c>
      <c r="J917" s="25" t="str">
        <f>IF($E917="","",IF($F917+$G917&gt;0,Inputs!$B$11,0))</f>
        <v/>
      </c>
      <c r="K917" s="25" t="str">
        <f t="shared" si="139"/>
        <v/>
      </c>
      <c r="L917" s="25" t="str">
        <f t="shared" si="140"/>
        <v/>
      </c>
      <c r="M917" s="25" t="str">
        <f t="shared" si="141"/>
        <v/>
      </c>
      <c r="N917" s="84" t="str">
        <f t="shared" si="142"/>
        <v/>
      </c>
      <c r="O917" s="23" t="str">
        <f t="shared" si="143"/>
        <v/>
      </c>
    </row>
    <row r="918" spans="1:15" ht="20" customHeight="1">
      <c r="A918" s="22" t="str">
        <f t="shared" si="135"/>
        <v/>
      </c>
      <c r="B918" s="23" t="str">
        <f>IF($E918="","",232)</f>
        <v/>
      </c>
      <c r="C918" s="24" t="str">
        <f>IF($E918="","",Inputs!$B$9+(231*Inputs!$B$21))</f>
        <v/>
      </c>
      <c r="D918" s="23" t="str">
        <f t="shared" si="136"/>
        <v/>
      </c>
      <c r="E918" s="25" t="str">
        <f t="shared" si="137"/>
        <v/>
      </c>
      <c r="F918" s="25" t="str">
        <f>IF($E918="","",ROUND(MIN(Comparison!$D$5,MAX(0,$E918+$H918)),2))</f>
        <v/>
      </c>
      <c r="G918" s="25" t="str">
        <f>IF($E918="","",ROUND(MIN(Inputs!$B$10,MAX(0,$E918+$H918-$F918)),2))</f>
        <v/>
      </c>
      <c r="H918" s="25" t="str">
        <f>IF($E918="","",ROUND(IF(Inputs!$B$12="Daily Simple Interest",$E918*Inputs!$B$6/Inputs!$B$17*$D918,$E918*Inputs!$B$6/Inputs!$B$20),2))</f>
        <v/>
      </c>
      <c r="I918" s="25" t="str">
        <f t="shared" si="138"/>
        <v/>
      </c>
      <c r="J918" s="25" t="str">
        <f>IF($E918="","",IF($F918+$G918&gt;0,Inputs!$B$11,0))</f>
        <v/>
      </c>
      <c r="K918" s="25" t="str">
        <f t="shared" si="139"/>
        <v/>
      </c>
      <c r="L918" s="25" t="str">
        <f t="shared" si="140"/>
        <v/>
      </c>
      <c r="M918" s="25" t="str">
        <f t="shared" si="141"/>
        <v/>
      </c>
      <c r="N918" s="84" t="str">
        <f t="shared" si="142"/>
        <v/>
      </c>
      <c r="O918" s="23" t="str">
        <f t="shared" si="143"/>
        <v/>
      </c>
    </row>
    <row r="919" spans="1:15" ht="20" customHeight="1">
      <c r="A919" s="22" t="str">
        <f t="shared" si="135"/>
        <v/>
      </c>
      <c r="B919" s="23" t="str">
        <f>IF($E919="","",233)</f>
        <v/>
      </c>
      <c r="C919" s="24" t="str">
        <f>IF($E919="","",Inputs!$B$9+(232*Inputs!$B$21))</f>
        <v/>
      </c>
      <c r="D919" s="23" t="str">
        <f t="shared" si="136"/>
        <v/>
      </c>
      <c r="E919" s="25" t="str">
        <f t="shared" si="137"/>
        <v/>
      </c>
      <c r="F919" s="25" t="str">
        <f>IF($E919="","",ROUND(MIN(Comparison!$D$5,MAX(0,$E919+$H919)),2))</f>
        <v/>
      </c>
      <c r="G919" s="25" t="str">
        <f>IF($E919="","",ROUND(MIN(Inputs!$B$10,MAX(0,$E919+$H919-$F919)),2))</f>
        <v/>
      </c>
      <c r="H919" s="25" t="str">
        <f>IF($E919="","",ROUND(IF(Inputs!$B$12="Daily Simple Interest",$E919*Inputs!$B$6/Inputs!$B$17*$D919,$E919*Inputs!$B$6/Inputs!$B$20),2))</f>
        <v/>
      </c>
      <c r="I919" s="25" t="str">
        <f t="shared" si="138"/>
        <v/>
      </c>
      <c r="J919" s="25" t="str">
        <f>IF($E919="","",IF($F919+$G919&gt;0,Inputs!$B$11,0))</f>
        <v/>
      </c>
      <c r="K919" s="25" t="str">
        <f t="shared" si="139"/>
        <v/>
      </c>
      <c r="L919" s="25" t="str">
        <f t="shared" si="140"/>
        <v/>
      </c>
      <c r="M919" s="25" t="str">
        <f t="shared" si="141"/>
        <v/>
      </c>
      <c r="N919" s="84" t="str">
        <f t="shared" si="142"/>
        <v/>
      </c>
      <c r="O919" s="23" t="str">
        <f t="shared" si="143"/>
        <v/>
      </c>
    </row>
    <row r="920" spans="1:15" ht="20" customHeight="1">
      <c r="A920" s="22" t="str">
        <f t="shared" si="135"/>
        <v/>
      </c>
      <c r="B920" s="23" t="str">
        <f>IF($E920="","",234)</f>
        <v/>
      </c>
      <c r="C920" s="24" t="str">
        <f>IF($E920="","",Inputs!$B$9+(233*Inputs!$B$21))</f>
        <v/>
      </c>
      <c r="D920" s="23" t="str">
        <f t="shared" si="136"/>
        <v/>
      </c>
      <c r="E920" s="25" t="str">
        <f t="shared" si="137"/>
        <v/>
      </c>
      <c r="F920" s="25" t="str">
        <f>IF($E920="","",ROUND(MIN(Comparison!$D$5,MAX(0,$E920+$H920)),2))</f>
        <v/>
      </c>
      <c r="G920" s="25" t="str">
        <f>IF($E920="","",ROUND(MIN(Inputs!$B$10,MAX(0,$E920+$H920-$F920)),2))</f>
        <v/>
      </c>
      <c r="H920" s="25" t="str">
        <f>IF($E920="","",ROUND(IF(Inputs!$B$12="Daily Simple Interest",$E920*Inputs!$B$6/Inputs!$B$17*$D920,$E920*Inputs!$B$6/Inputs!$B$20),2))</f>
        <v/>
      </c>
      <c r="I920" s="25" t="str">
        <f t="shared" si="138"/>
        <v/>
      </c>
      <c r="J920" s="25" t="str">
        <f>IF($E920="","",IF($F920+$G920&gt;0,Inputs!$B$11,0))</f>
        <v/>
      </c>
      <c r="K920" s="25" t="str">
        <f t="shared" si="139"/>
        <v/>
      </c>
      <c r="L920" s="25" t="str">
        <f t="shared" si="140"/>
        <v/>
      </c>
      <c r="M920" s="25" t="str">
        <f t="shared" si="141"/>
        <v/>
      </c>
      <c r="N920" s="84" t="str">
        <f t="shared" si="142"/>
        <v/>
      </c>
      <c r="O920" s="23" t="str">
        <f t="shared" si="143"/>
        <v/>
      </c>
    </row>
    <row r="921" spans="1:15" ht="20" customHeight="1">
      <c r="A921" s="22" t="str">
        <f t="shared" si="135"/>
        <v/>
      </c>
      <c r="B921" s="23" t="str">
        <f>IF($E921="","",235)</f>
        <v/>
      </c>
      <c r="C921" s="24" t="str">
        <f>IF($E921="","",Inputs!$B$9+(234*Inputs!$B$21))</f>
        <v/>
      </c>
      <c r="D921" s="23" t="str">
        <f t="shared" si="136"/>
        <v/>
      </c>
      <c r="E921" s="25" t="str">
        <f t="shared" si="137"/>
        <v/>
      </c>
      <c r="F921" s="25" t="str">
        <f>IF($E921="","",ROUND(MIN(Comparison!$D$5,MAX(0,$E921+$H921)),2))</f>
        <v/>
      </c>
      <c r="G921" s="25" t="str">
        <f>IF($E921="","",ROUND(MIN(Inputs!$B$10,MAX(0,$E921+$H921-$F921)),2))</f>
        <v/>
      </c>
      <c r="H921" s="25" t="str">
        <f>IF($E921="","",ROUND(IF(Inputs!$B$12="Daily Simple Interest",$E921*Inputs!$B$6/Inputs!$B$17*$D921,$E921*Inputs!$B$6/Inputs!$B$20),2))</f>
        <v/>
      </c>
      <c r="I921" s="25" t="str">
        <f t="shared" si="138"/>
        <v/>
      </c>
      <c r="J921" s="25" t="str">
        <f>IF($E921="","",IF($F921+$G921&gt;0,Inputs!$B$11,0))</f>
        <v/>
      </c>
      <c r="K921" s="25" t="str">
        <f t="shared" si="139"/>
        <v/>
      </c>
      <c r="L921" s="25" t="str">
        <f t="shared" si="140"/>
        <v/>
      </c>
      <c r="M921" s="25" t="str">
        <f t="shared" si="141"/>
        <v/>
      </c>
      <c r="N921" s="84" t="str">
        <f t="shared" si="142"/>
        <v/>
      </c>
      <c r="O921" s="23" t="str">
        <f t="shared" si="143"/>
        <v/>
      </c>
    </row>
    <row r="922" spans="1:15" ht="20" customHeight="1">
      <c r="A922" s="22" t="str">
        <f t="shared" si="135"/>
        <v/>
      </c>
      <c r="B922" s="23" t="str">
        <f>IF($E922="","",236)</f>
        <v/>
      </c>
      <c r="C922" s="24" t="str">
        <f>IF($E922="","",Inputs!$B$9+(235*Inputs!$B$21))</f>
        <v/>
      </c>
      <c r="D922" s="23" t="str">
        <f t="shared" si="136"/>
        <v/>
      </c>
      <c r="E922" s="25" t="str">
        <f t="shared" si="137"/>
        <v/>
      </c>
      <c r="F922" s="25" t="str">
        <f>IF($E922="","",ROUND(MIN(Comparison!$D$5,MAX(0,$E922+$H922)),2))</f>
        <v/>
      </c>
      <c r="G922" s="25" t="str">
        <f>IF($E922="","",ROUND(MIN(Inputs!$B$10,MAX(0,$E922+$H922-$F922)),2))</f>
        <v/>
      </c>
      <c r="H922" s="25" t="str">
        <f>IF($E922="","",ROUND(IF(Inputs!$B$12="Daily Simple Interest",$E922*Inputs!$B$6/Inputs!$B$17*$D922,$E922*Inputs!$B$6/Inputs!$B$20),2))</f>
        <v/>
      </c>
      <c r="I922" s="25" t="str">
        <f t="shared" si="138"/>
        <v/>
      </c>
      <c r="J922" s="25" t="str">
        <f>IF($E922="","",IF($F922+$G922&gt;0,Inputs!$B$11,0))</f>
        <v/>
      </c>
      <c r="K922" s="25" t="str">
        <f t="shared" si="139"/>
        <v/>
      </c>
      <c r="L922" s="25" t="str">
        <f t="shared" si="140"/>
        <v/>
      </c>
      <c r="M922" s="25" t="str">
        <f t="shared" si="141"/>
        <v/>
      </c>
      <c r="N922" s="84" t="str">
        <f t="shared" si="142"/>
        <v/>
      </c>
      <c r="O922" s="23" t="str">
        <f t="shared" si="143"/>
        <v/>
      </c>
    </row>
    <row r="923" spans="1:15" ht="20" customHeight="1">
      <c r="A923" s="22" t="str">
        <f t="shared" si="135"/>
        <v/>
      </c>
      <c r="B923" s="23" t="str">
        <f>IF($E923="","",237)</f>
        <v/>
      </c>
      <c r="C923" s="24" t="str">
        <f>IF($E923="","",Inputs!$B$9+(236*Inputs!$B$21))</f>
        <v/>
      </c>
      <c r="D923" s="23" t="str">
        <f t="shared" si="136"/>
        <v/>
      </c>
      <c r="E923" s="25" t="str">
        <f t="shared" si="137"/>
        <v/>
      </c>
      <c r="F923" s="25" t="str">
        <f>IF($E923="","",ROUND(MIN(Comparison!$D$5,MAX(0,$E923+$H923)),2))</f>
        <v/>
      </c>
      <c r="G923" s="25" t="str">
        <f>IF($E923="","",ROUND(MIN(Inputs!$B$10,MAX(0,$E923+$H923-$F923)),2))</f>
        <v/>
      </c>
      <c r="H923" s="25" t="str">
        <f>IF($E923="","",ROUND(IF(Inputs!$B$12="Daily Simple Interest",$E923*Inputs!$B$6/Inputs!$B$17*$D923,$E923*Inputs!$B$6/Inputs!$B$20),2))</f>
        <v/>
      </c>
      <c r="I923" s="25" t="str">
        <f t="shared" si="138"/>
        <v/>
      </c>
      <c r="J923" s="25" t="str">
        <f>IF($E923="","",IF($F923+$G923&gt;0,Inputs!$B$11,0))</f>
        <v/>
      </c>
      <c r="K923" s="25" t="str">
        <f t="shared" si="139"/>
        <v/>
      </c>
      <c r="L923" s="25" t="str">
        <f t="shared" si="140"/>
        <v/>
      </c>
      <c r="M923" s="25" t="str">
        <f t="shared" si="141"/>
        <v/>
      </c>
      <c r="N923" s="84" t="str">
        <f t="shared" si="142"/>
        <v/>
      </c>
      <c r="O923" s="23" t="str">
        <f t="shared" si="143"/>
        <v/>
      </c>
    </row>
    <row r="924" spans="1:15" ht="20" customHeight="1">
      <c r="A924" s="22" t="str">
        <f t="shared" si="135"/>
        <v/>
      </c>
      <c r="B924" s="23" t="str">
        <f>IF($E924="","",238)</f>
        <v/>
      </c>
      <c r="C924" s="24" t="str">
        <f>IF($E924="","",Inputs!$B$9+(237*Inputs!$B$21))</f>
        <v/>
      </c>
      <c r="D924" s="23" t="str">
        <f t="shared" si="136"/>
        <v/>
      </c>
      <c r="E924" s="25" t="str">
        <f t="shared" si="137"/>
        <v/>
      </c>
      <c r="F924" s="25" t="str">
        <f>IF($E924="","",ROUND(MIN(Comparison!$D$5,MAX(0,$E924+$H924)),2))</f>
        <v/>
      </c>
      <c r="G924" s="25" t="str">
        <f>IF($E924="","",ROUND(MIN(Inputs!$B$10,MAX(0,$E924+$H924-$F924)),2))</f>
        <v/>
      </c>
      <c r="H924" s="25" t="str">
        <f>IF($E924="","",ROUND(IF(Inputs!$B$12="Daily Simple Interest",$E924*Inputs!$B$6/Inputs!$B$17*$D924,$E924*Inputs!$B$6/Inputs!$B$20),2))</f>
        <v/>
      </c>
      <c r="I924" s="25" t="str">
        <f t="shared" si="138"/>
        <v/>
      </c>
      <c r="J924" s="25" t="str">
        <f>IF($E924="","",IF($F924+$G924&gt;0,Inputs!$B$11,0))</f>
        <v/>
      </c>
      <c r="K924" s="25" t="str">
        <f t="shared" si="139"/>
        <v/>
      </c>
      <c r="L924" s="25" t="str">
        <f t="shared" si="140"/>
        <v/>
      </c>
      <c r="M924" s="25" t="str">
        <f t="shared" si="141"/>
        <v/>
      </c>
      <c r="N924" s="84" t="str">
        <f t="shared" si="142"/>
        <v/>
      </c>
      <c r="O924" s="23" t="str">
        <f t="shared" si="143"/>
        <v/>
      </c>
    </row>
    <row r="925" spans="1:15" ht="20" customHeight="1">
      <c r="A925" s="22" t="str">
        <f t="shared" si="135"/>
        <v/>
      </c>
      <c r="B925" s="23" t="str">
        <f>IF($E925="","",239)</f>
        <v/>
      </c>
      <c r="C925" s="24" t="str">
        <f>IF($E925="","",Inputs!$B$9+(238*Inputs!$B$21))</f>
        <v/>
      </c>
      <c r="D925" s="23" t="str">
        <f t="shared" si="136"/>
        <v/>
      </c>
      <c r="E925" s="25" t="str">
        <f t="shared" si="137"/>
        <v/>
      </c>
      <c r="F925" s="25" t="str">
        <f>IF($E925="","",ROUND(MIN(Comparison!$D$5,MAX(0,$E925+$H925)),2))</f>
        <v/>
      </c>
      <c r="G925" s="25" t="str">
        <f>IF($E925="","",ROUND(MIN(Inputs!$B$10,MAX(0,$E925+$H925-$F925)),2))</f>
        <v/>
      </c>
      <c r="H925" s="25" t="str">
        <f>IF($E925="","",ROUND(IF(Inputs!$B$12="Daily Simple Interest",$E925*Inputs!$B$6/Inputs!$B$17*$D925,$E925*Inputs!$B$6/Inputs!$B$20),2))</f>
        <v/>
      </c>
      <c r="I925" s="25" t="str">
        <f t="shared" si="138"/>
        <v/>
      </c>
      <c r="J925" s="25" t="str">
        <f>IF($E925="","",IF($F925+$G925&gt;0,Inputs!$B$11,0))</f>
        <v/>
      </c>
      <c r="K925" s="25" t="str">
        <f t="shared" si="139"/>
        <v/>
      </c>
      <c r="L925" s="25" t="str">
        <f t="shared" si="140"/>
        <v/>
      </c>
      <c r="M925" s="25" t="str">
        <f t="shared" si="141"/>
        <v/>
      </c>
      <c r="N925" s="84" t="str">
        <f t="shared" si="142"/>
        <v/>
      </c>
      <c r="O925" s="23" t="str">
        <f t="shared" si="143"/>
        <v/>
      </c>
    </row>
    <row r="926" spans="1:15" ht="20" customHeight="1">
      <c r="A926" s="22" t="str">
        <f t="shared" si="135"/>
        <v/>
      </c>
      <c r="B926" s="23" t="str">
        <f>IF($E926="","",240)</f>
        <v/>
      </c>
      <c r="C926" s="24" t="str">
        <f>IF($E926="","",Inputs!$B$9+(239*Inputs!$B$21))</f>
        <v/>
      </c>
      <c r="D926" s="23" t="str">
        <f t="shared" si="136"/>
        <v/>
      </c>
      <c r="E926" s="25" t="str">
        <f t="shared" si="137"/>
        <v/>
      </c>
      <c r="F926" s="25" t="str">
        <f>IF($E926="","",ROUND(MIN(Comparison!$D$5,MAX(0,$E926+$H926)),2))</f>
        <v/>
      </c>
      <c r="G926" s="25" t="str">
        <f>IF($E926="","",ROUND(MIN(Inputs!$B$10,MAX(0,$E926+$H926-$F926)),2))</f>
        <v/>
      </c>
      <c r="H926" s="25" t="str">
        <f>IF($E926="","",ROUND(IF(Inputs!$B$12="Daily Simple Interest",$E926*Inputs!$B$6/Inputs!$B$17*$D926,$E926*Inputs!$B$6/Inputs!$B$20),2))</f>
        <v/>
      </c>
      <c r="I926" s="25" t="str">
        <f t="shared" si="138"/>
        <v/>
      </c>
      <c r="J926" s="25" t="str">
        <f>IF($E926="","",IF($F926+$G926&gt;0,Inputs!$B$11,0))</f>
        <v/>
      </c>
      <c r="K926" s="25" t="str">
        <f t="shared" si="139"/>
        <v/>
      </c>
      <c r="L926" s="25" t="str">
        <f t="shared" si="140"/>
        <v/>
      </c>
      <c r="M926" s="25" t="str">
        <f t="shared" si="141"/>
        <v/>
      </c>
      <c r="N926" s="84" t="str">
        <f t="shared" si="142"/>
        <v/>
      </c>
      <c r="O926" s="23" t="str">
        <f t="shared" si="143"/>
        <v/>
      </c>
    </row>
    <row r="927" spans="1:15" ht="20" customHeight="1">
      <c r="A927" s="22" t="str">
        <f t="shared" si="135"/>
        <v/>
      </c>
      <c r="B927" s="23" t="str">
        <f>IF($E927="","",241)</f>
        <v/>
      </c>
      <c r="C927" s="24" t="str">
        <f>IF($E927="","",Inputs!$B$9+(240*Inputs!$B$21))</f>
        <v/>
      </c>
      <c r="D927" s="23" t="str">
        <f t="shared" si="136"/>
        <v/>
      </c>
      <c r="E927" s="25" t="str">
        <f t="shared" si="137"/>
        <v/>
      </c>
      <c r="F927" s="25" t="str">
        <f>IF($E927="","",ROUND(MIN(Comparison!$D$5,MAX(0,$E927+$H927)),2))</f>
        <v/>
      </c>
      <c r="G927" s="25" t="str">
        <f>IF($E927="","",ROUND(MIN(Inputs!$B$10,MAX(0,$E927+$H927-$F927)),2))</f>
        <v/>
      </c>
      <c r="H927" s="25" t="str">
        <f>IF($E927="","",ROUND(IF(Inputs!$B$12="Daily Simple Interest",$E927*Inputs!$B$6/Inputs!$B$17*$D927,$E927*Inputs!$B$6/Inputs!$B$20),2))</f>
        <v/>
      </c>
      <c r="I927" s="25" t="str">
        <f t="shared" si="138"/>
        <v/>
      </c>
      <c r="J927" s="25" t="str">
        <f>IF($E927="","",IF($F927+$G927&gt;0,Inputs!$B$11,0))</f>
        <v/>
      </c>
      <c r="K927" s="25" t="str">
        <f t="shared" si="139"/>
        <v/>
      </c>
      <c r="L927" s="25" t="str">
        <f t="shared" si="140"/>
        <v/>
      </c>
      <c r="M927" s="25" t="str">
        <f t="shared" si="141"/>
        <v/>
      </c>
      <c r="N927" s="84" t="str">
        <f t="shared" si="142"/>
        <v/>
      </c>
      <c r="O927" s="23" t="str">
        <f t="shared" si="143"/>
        <v/>
      </c>
    </row>
    <row r="928" spans="1:15" ht="20" customHeight="1">
      <c r="A928" s="22" t="str">
        <f t="shared" si="135"/>
        <v/>
      </c>
      <c r="B928" s="23" t="str">
        <f>IF($E928="","",242)</f>
        <v/>
      </c>
      <c r="C928" s="24" t="str">
        <f>IF($E928="","",Inputs!$B$9+(241*Inputs!$B$21))</f>
        <v/>
      </c>
      <c r="D928" s="23" t="str">
        <f t="shared" si="136"/>
        <v/>
      </c>
      <c r="E928" s="25" t="str">
        <f t="shared" si="137"/>
        <v/>
      </c>
      <c r="F928" s="25" t="str">
        <f>IF($E928="","",ROUND(MIN(Comparison!$D$5,MAX(0,$E928+$H928)),2))</f>
        <v/>
      </c>
      <c r="G928" s="25" t="str">
        <f>IF($E928="","",ROUND(MIN(Inputs!$B$10,MAX(0,$E928+$H928-$F928)),2))</f>
        <v/>
      </c>
      <c r="H928" s="25" t="str">
        <f>IF($E928="","",ROUND(IF(Inputs!$B$12="Daily Simple Interest",$E928*Inputs!$B$6/Inputs!$B$17*$D928,$E928*Inputs!$B$6/Inputs!$B$20),2))</f>
        <v/>
      </c>
      <c r="I928" s="25" t="str">
        <f t="shared" si="138"/>
        <v/>
      </c>
      <c r="J928" s="25" t="str">
        <f>IF($E928="","",IF($F928+$G928&gt;0,Inputs!$B$11,0))</f>
        <v/>
      </c>
      <c r="K928" s="25" t="str">
        <f t="shared" si="139"/>
        <v/>
      </c>
      <c r="L928" s="25" t="str">
        <f t="shared" si="140"/>
        <v/>
      </c>
      <c r="M928" s="25" t="str">
        <f t="shared" si="141"/>
        <v/>
      </c>
      <c r="N928" s="84" t="str">
        <f t="shared" si="142"/>
        <v/>
      </c>
      <c r="O928" s="23" t="str">
        <f t="shared" si="143"/>
        <v/>
      </c>
    </row>
    <row r="929" spans="1:15" ht="20" customHeight="1">
      <c r="A929" s="22" t="str">
        <f t="shared" si="135"/>
        <v/>
      </c>
      <c r="B929" s="23" t="str">
        <f>IF($E929="","",243)</f>
        <v/>
      </c>
      <c r="C929" s="24" t="str">
        <f>IF($E929="","",Inputs!$B$9+(242*Inputs!$B$21))</f>
        <v/>
      </c>
      <c r="D929" s="23" t="str">
        <f t="shared" si="136"/>
        <v/>
      </c>
      <c r="E929" s="25" t="str">
        <f t="shared" si="137"/>
        <v/>
      </c>
      <c r="F929" s="25" t="str">
        <f>IF($E929="","",ROUND(MIN(Comparison!$D$5,MAX(0,$E929+$H929)),2))</f>
        <v/>
      </c>
      <c r="G929" s="25" t="str">
        <f>IF($E929="","",ROUND(MIN(Inputs!$B$10,MAX(0,$E929+$H929-$F929)),2))</f>
        <v/>
      </c>
      <c r="H929" s="25" t="str">
        <f>IF($E929="","",ROUND(IF(Inputs!$B$12="Daily Simple Interest",$E929*Inputs!$B$6/Inputs!$B$17*$D929,$E929*Inputs!$B$6/Inputs!$B$20),2))</f>
        <v/>
      </c>
      <c r="I929" s="25" t="str">
        <f t="shared" si="138"/>
        <v/>
      </c>
      <c r="J929" s="25" t="str">
        <f>IF($E929="","",IF($F929+$G929&gt;0,Inputs!$B$11,0))</f>
        <v/>
      </c>
      <c r="K929" s="25" t="str">
        <f t="shared" si="139"/>
        <v/>
      </c>
      <c r="L929" s="25" t="str">
        <f t="shared" si="140"/>
        <v/>
      </c>
      <c r="M929" s="25" t="str">
        <f t="shared" si="141"/>
        <v/>
      </c>
      <c r="N929" s="84" t="str">
        <f t="shared" si="142"/>
        <v/>
      </c>
      <c r="O929" s="23" t="str">
        <f t="shared" si="143"/>
        <v/>
      </c>
    </row>
    <row r="930" spans="1:15" ht="20" customHeight="1">
      <c r="A930" s="22" t="str">
        <f t="shared" si="135"/>
        <v/>
      </c>
      <c r="B930" s="23" t="str">
        <f>IF($E930="","",244)</f>
        <v/>
      </c>
      <c r="C930" s="24" t="str">
        <f>IF($E930="","",Inputs!$B$9+(243*Inputs!$B$21))</f>
        <v/>
      </c>
      <c r="D930" s="23" t="str">
        <f t="shared" si="136"/>
        <v/>
      </c>
      <c r="E930" s="25" t="str">
        <f t="shared" si="137"/>
        <v/>
      </c>
      <c r="F930" s="25" t="str">
        <f>IF($E930="","",ROUND(MIN(Comparison!$D$5,MAX(0,$E930+$H930)),2))</f>
        <v/>
      </c>
      <c r="G930" s="25" t="str">
        <f>IF($E930="","",ROUND(MIN(Inputs!$B$10,MAX(0,$E930+$H930-$F930)),2))</f>
        <v/>
      </c>
      <c r="H930" s="25" t="str">
        <f>IF($E930="","",ROUND(IF(Inputs!$B$12="Daily Simple Interest",$E930*Inputs!$B$6/Inputs!$B$17*$D930,$E930*Inputs!$B$6/Inputs!$B$20),2))</f>
        <v/>
      </c>
      <c r="I930" s="25" t="str">
        <f t="shared" si="138"/>
        <v/>
      </c>
      <c r="J930" s="25" t="str">
        <f>IF($E930="","",IF($F930+$G930&gt;0,Inputs!$B$11,0))</f>
        <v/>
      </c>
      <c r="K930" s="25" t="str">
        <f t="shared" si="139"/>
        <v/>
      </c>
      <c r="L930" s="25" t="str">
        <f t="shared" si="140"/>
        <v/>
      </c>
      <c r="M930" s="25" t="str">
        <f t="shared" si="141"/>
        <v/>
      </c>
      <c r="N930" s="84" t="str">
        <f t="shared" si="142"/>
        <v/>
      </c>
      <c r="O930" s="23" t="str">
        <f t="shared" si="143"/>
        <v/>
      </c>
    </row>
    <row r="931" spans="1:15" ht="20" customHeight="1">
      <c r="A931" s="22" t="str">
        <f t="shared" si="135"/>
        <v/>
      </c>
      <c r="B931" s="23" t="str">
        <f>IF($E931="","",245)</f>
        <v/>
      </c>
      <c r="C931" s="24" t="str">
        <f>IF($E931="","",Inputs!$B$9+(244*Inputs!$B$21))</f>
        <v/>
      </c>
      <c r="D931" s="23" t="str">
        <f t="shared" si="136"/>
        <v/>
      </c>
      <c r="E931" s="25" t="str">
        <f t="shared" si="137"/>
        <v/>
      </c>
      <c r="F931" s="25" t="str">
        <f>IF($E931="","",ROUND(MIN(Comparison!$D$5,MAX(0,$E931+$H931)),2))</f>
        <v/>
      </c>
      <c r="G931" s="25" t="str">
        <f>IF($E931="","",ROUND(MIN(Inputs!$B$10,MAX(0,$E931+$H931-$F931)),2))</f>
        <v/>
      </c>
      <c r="H931" s="25" t="str">
        <f>IF($E931="","",ROUND(IF(Inputs!$B$12="Daily Simple Interest",$E931*Inputs!$B$6/Inputs!$B$17*$D931,$E931*Inputs!$B$6/Inputs!$B$20),2))</f>
        <v/>
      </c>
      <c r="I931" s="25" t="str">
        <f t="shared" si="138"/>
        <v/>
      </c>
      <c r="J931" s="25" t="str">
        <f>IF($E931="","",IF($F931+$G931&gt;0,Inputs!$B$11,0))</f>
        <v/>
      </c>
      <c r="K931" s="25" t="str">
        <f t="shared" si="139"/>
        <v/>
      </c>
      <c r="L931" s="25" t="str">
        <f t="shared" si="140"/>
        <v/>
      </c>
      <c r="M931" s="25" t="str">
        <f t="shared" si="141"/>
        <v/>
      </c>
      <c r="N931" s="84" t="str">
        <f t="shared" si="142"/>
        <v/>
      </c>
      <c r="O931" s="23" t="str">
        <f t="shared" si="143"/>
        <v/>
      </c>
    </row>
    <row r="932" spans="1:15" ht="20" customHeight="1">
      <c r="A932" s="22" t="str">
        <f t="shared" si="135"/>
        <v/>
      </c>
      <c r="B932" s="23" t="str">
        <f>IF($E932="","",246)</f>
        <v/>
      </c>
      <c r="C932" s="24" t="str">
        <f>IF($E932="","",Inputs!$B$9+(245*Inputs!$B$21))</f>
        <v/>
      </c>
      <c r="D932" s="23" t="str">
        <f t="shared" si="136"/>
        <v/>
      </c>
      <c r="E932" s="25" t="str">
        <f t="shared" si="137"/>
        <v/>
      </c>
      <c r="F932" s="25" t="str">
        <f>IF($E932="","",ROUND(MIN(Comparison!$D$5,MAX(0,$E932+$H932)),2))</f>
        <v/>
      </c>
      <c r="G932" s="25" t="str">
        <f>IF($E932="","",ROUND(MIN(Inputs!$B$10,MAX(0,$E932+$H932-$F932)),2))</f>
        <v/>
      </c>
      <c r="H932" s="25" t="str">
        <f>IF($E932="","",ROUND(IF(Inputs!$B$12="Daily Simple Interest",$E932*Inputs!$B$6/Inputs!$B$17*$D932,$E932*Inputs!$B$6/Inputs!$B$20),2))</f>
        <v/>
      </c>
      <c r="I932" s="25" t="str">
        <f t="shared" si="138"/>
        <v/>
      </c>
      <c r="J932" s="25" t="str">
        <f>IF($E932="","",IF($F932+$G932&gt;0,Inputs!$B$11,0))</f>
        <v/>
      </c>
      <c r="K932" s="25" t="str">
        <f t="shared" si="139"/>
        <v/>
      </c>
      <c r="L932" s="25" t="str">
        <f t="shared" si="140"/>
        <v/>
      </c>
      <c r="M932" s="25" t="str">
        <f t="shared" si="141"/>
        <v/>
      </c>
      <c r="N932" s="84" t="str">
        <f t="shared" si="142"/>
        <v/>
      </c>
      <c r="O932" s="23" t="str">
        <f t="shared" si="143"/>
        <v/>
      </c>
    </row>
    <row r="933" spans="1:15" ht="20" customHeight="1">
      <c r="A933" s="22" t="str">
        <f t="shared" si="135"/>
        <v/>
      </c>
      <c r="B933" s="23" t="str">
        <f>IF($E933="","",247)</f>
        <v/>
      </c>
      <c r="C933" s="24" t="str">
        <f>IF($E933="","",Inputs!$B$9+(246*Inputs!$B$21))</f>
        <v/>
      </c>
      <c r="D933" s="23" t="str">
        <f t="shared" si="136"/>
        <v/>
      </c>
      <c r="E933" s="25" t="str">
        <f t="shared" si="137"/>
        <v/>
      </c>
      <c r="F933" s="25" t="str">
        <f>IF($E933="","",ROUND(MIN(Comparison!$D$5,MAX(0,$E933+$H933)),2))</f>
        <v/>
      </c>
      <c r="G933" s="25" t="str">
        <f>IF($E933="","",ROUND(MIN(Inputs!$B$10,MAX(0,$E933+$H933-$F933)),2))</f>
        <v/>
      </c>
      <c r="H933" s="25" t="str">
        <f>IF($E933="","",ROUND(IF(Inputs!$B$12="Daily Simple Interest",$E933*Inputs!$B$6/Inputs!$B$17*$D933,$E933*Inputs!$B$6/Inputs!$B$20),2))</f>
        <v/>
      </c>
      <c r="I933" s="25" t="str">
        <f t="shared" si="138"/>
        <v/>
      </c>
      <c r="J933" s="25" t="str">
        <f>IF($E933="","",IF($F933+$G933&gt;0,Inputs!$B$11,0))</f>
        <v/>
      </c>
      <c r="K933" s="25" t="str">
        <f t="shared" si="139"/>
        <v/>
      </c>
      <c r="L933" s="25" t="str">
        <f t="shared" si="140"/>
        <v/>
      </c>
      <c r="M933" s="25" t="str">
        <f t="shared" si="141"/>
        <v/>
      </c>
      <c r="N933" s="84" t="str">
        <f t="shared" si="142"/>
        <v/>
      </c>
      <c r="O933" s="23" t="str">
        <f t="shared" si="143"/>
        <v/>
      </c>
    </row>
    <row r="934" spans="1:15" ht="20" customHeight="1">
      <c r="A934" s="22" t="str">
        <f t="shared" si="135"/>
        <v/>
      </c>
      <c r="B934" s="23" t="str">
        <f>IF($E934="","",248)</f>
        <v/>
      </c>
      <c r="C934" s="24" t="str">
        <f>IF($E934="","",Inputs!$B$9+(247*Inputs!$B$21))</f>
        <v/>
      </c>
      <c r="D934" s="23" t="str">
        <f t="shared" si="136"/>
        <v/>
      </c>
      <c r="E934" s="25" t="str">
        <f t="shared" si="137"/>
        <v/>
      </c>
      <c r="F934" s="25" t="str">
        <f>IF($E934="","",ROUND(MIN(Comparison!$D$5,MAX(0,$E934+$H934)),2))</f>
        <v/>
      </c>
      <c r="G934" s="25" t="str">
        <f>IF($E934="","",ROUND(MIN(Inputs!$B$10,MAX(0,$E934+$H934-$F934)),2))</f>
        <v/>
      </c>
      <c r="H934" s="25" t="str">
        <f>IF($E934="","",ROUND(IF(Inputs!$B$12="Daily Simple Interest",$E934*Inputs!$B$6/Inputs!$B$17*$D934,$E934*Inputs!$B$6/Inputs!$B$20),2))</f>
        <v/>
      </c>
      <c r="I934" s="25" t="str">
        <f t="shared" si="138"/>
        <v/>
      </c>
      <c r="J934" s="25" t="str">
        <f>IF($E934="","",IF($F934+$G934&gt;0,Inputs!$B$11,0))</f>
        <v/>
      </c>
      <c r="K934" s="25" t="str">
        <f t="shared" si="139"/>
        <v/>
      </c>
      <c r="L934" s="25" t="str">
        <f t="shared" si="140"/>
        <v/>
      </c>
      <c r="M934" s="25" t="str">
        <f t="shared" si="141"/>
        <v/>
      </c>
      <c r="N934" s="84" t="str">
        <f t="shared" si="142"/>
        <v/>
      </c>
      <c r="O934" s="23" t="str">
        <f t="shared" si="143"/>
        <v/>
      </c>
    </row>
    <row r="935" spans="1:15" ht="20" customHeight="1">
      <c r="A935" s="22" t="str">
        <f t="shared" si="135"/>
        <v/>
      </c>
      <c r="B935" s="23" t="str">
        <f>IF($E935="","",249)</f>
        <v/>
      </c>
      <c r="C935" s="24" t="str">
        <f>IF($E935="","",Inputs!$B$9+(248*Inputs!$B$21))</f>
        <v/>
      </c>
      <c r="D935" s="23" t="str">
        <f t="shared" si="136"/>
        <v/>
      </c>
      <c r="E935" s="25" t="str">
        <f t="shared" si="137"/>
        <v/>
      </c>
      <c r="F935" s="25" t="str">
        <f>IF($E935="","",ROUND(MIN(Comparison!$D$5,MAX(0,$E935+$H935)),2))</f>
        <v/>
      </c>
      <c r="G935" s="25" t="str">
        <f>IF($E935="","",ROUND(MIN(Inputs!$B$10,MAX(0,$E935+$H935-$F935)),2))</f>
        <v/>
      </c>
      <c r="H935" s="25" t="str">
        <f>IF($E935="","",ROUND(IF(Inputs!$B$12="Daily Simple Interest",$E935*Inputs!$B$6/Inputs!$B$17*$D935,$E935*Inputs!$B$6/Inputs!$B$20),2))</f>
        <v/>
      </c>
      <c r="I935" s="25" t="str">
        <f t="shared" si="138"/>
        <v/>
      </c>
      <c r="J935" s="25" t="str">
        <f>IF($E935="","",IF($F935+$G935&gt;0,Inputs!$B$11,0))</f>
        <v/>
      </c>
      <c r="K935" s="25" t="str">
        <f t="shared" si="139"/>
        <v/>
      </c>
      <c r="L935" s="25" t="str">
        <f t="shared" si="140"/>
        <v/>
      </c>
      <c r="M935" s="25" t="str">
        <f t="shared" si="141"/>
        <v/>
      </c>
      <c r="N935" s="84" t="str">
        <f t="shared" si="142"/>
        <v/>
      </c>
      <c r="O935" s="23" t="str">
        <f t="shared" si="143"/>
        <v/>
      </c>
    </row>
    <row r="936" spans="1:15" ht="20" customHeight="1">
      <c r="A936" s="22" t="str">
        <f t="shared" si="135"/>
        <v/>
      </c>
      <c r="B936" s="23" t="str">
        <f>IF($E936="","",250)</f>
        <v/>
      </c>
      <c r="C936" s="24" t="str">
        <f>IF($E936="","",Inputs!$B$9+(249*Inputs!$B$21))</f>
        <v/>
      </c>
      <c r="D936" s="23" t="str">
        <f t="shared" si="136"/>
        <v/>
      </c>
      <c r="E936" s="25" t="str">
        <f t="shared" si="137"/>
        <v/>
      </c>
      <c r="F936" s="25" t="str">
        <f>IF($E936="","",ROUND(MIN(Comparison!$D$5,MAX(0,$E936+$H936)),2))</f>
        <v/>
      </c>
      <c r="G936" s="25" t="str">
        <f>IF($E936="","",ROUND(MIN(Inputs!$B$10,MAX(0,$E936+$H936-$F936)),2))</f>
        <v/>
      </c>
      <c r="H936" s="25" t="str">
        <f>IF($E936="","",ROUND(IF(Inputs!$B$12="Daily Simple Interest",$E936*Inputs!$B$6/Inputs!$B$17*$D936,$E936*Inputs!$B$6/Inputs!$B$20),2))</f>
        <v/>
      </c>
      <c r="I936" s="25" t="str">
        <f t="shared" si="138"/>
        <v/>
      </c>
      <c r="J936" s="25" t="str">
        <f>IF($E936="","",IF($F936+$G936&gt;0,Inputs!$B$11,0))</f>
        <v/>
      </c>
      <c r="K936" s="25" t="str">
        <f t="shared" si="139"/>
        <v/>
      </c>
      <c r="L936" s="25" t="str">
        <f t="shared" si="140"/>
        <v/>
      </c>
      <c r="M936" s="25" t="str">
        <f t="shared" si="141"/>
        <v/>
      </c>
      <c r="N936" s="84" t="str">
        <f t="shared" si="142"/>
        <v/>
      </c>
      <c r="O936" s="23" t="str">
        <f t="shared" si="143"/>
        <v/>
      </c>
    </row>
    <row r="937" spans="1:15" ht="20" customHeight="1">
      <c r="A937" s="22" t="str">
        <f t="shared" si="135"/>
        <v/>
      </c>
      <c r="B937" s="23" t="str">
        <f>IF($E937="","",251)</f>
        <v/>
      </c>
      <c r="C937" s="24" t="str">
        <f>IF($E937="","",Inputs!$B$9+(250*Inputs!$B$21))</f>
        <v/>
      </c>
      <c r="D937" s="23" t="str">
        <f t="shared" si="136"/>
        <v/>
      </c>
      <c r="E937" s="25" t="str">
        <f t="shared" si="137"/>
        <v/>
      </c>
      <c r="F937" s="25" t="str">
        <f>IF($E937="","",ROUND(MIN(Comparison!$D$5,MAX(0,$E937+$H937)),2))</f>
        <v/>
      </c>
      <c r="G937" s="25" t="str">
        <f>IF($E937="","",ROUND(MIN(Inputs!$B$10,MAX(0,$E937+$H937-$F937)),2))</f>
        <v/>
      </c>
      <c r="H937" s="25" t="str">
        <f>IF($E937="","",ROUND(IF(Inputs!$B$12="Daily Simple Interest",$E937*Inputs!$B$6/Inputs!$B$17*$D937,$E937*Inputs!$B$6/Inputs!$B$20),2))</f>
        <v/>
      </c>
      <c r="I937" s="25" t="str">
        <f t="shared" si="138"/>
        <v/>
      </c>
      <c r="J937" s="25" t="str">
        <f>IF($E937="","",IF($F937+$G937&gt;0,Inputs!$B$11,0))</f>
        <v/>
      </c>
      <c r="K937" s="25" t="str">
        <f t="shared" si="139"/>
        <v/>
      </c>
      <c r="L937" s="25" t="str">
        <f t="shared" si="140"/>
        <v/>
      </c>
      <c r="M937" s="25" t="str">
        <f t="shared" si="141"/>
        <v/>
      </c>
      <c r="N937" s="84" t="str">
        <f t="shared" si="142"/>
        <v/>
      </c>
      <c r="O937" s="23" t="str">
        <f t="shared" si="143"/>
        <v/>
      </c>
    </row>
    <row r="938" spans="1:15" ht="20" customHeight="1">
      <c r="A938" s="22" t="str">
        <f t="shared" si="135"/>
        <v/>
      </c>
      <c r="B938" s="23" t="str">
        <f>IF($E938="","",252)</f>
        <v/>
      </c>
      <c r="C938" s="24" t="str">
        <f>IF($E938="","",Inputs!$B$9+(251*Inputs!$B$21))</f>
        <v/>
      </c>
      <c r="D938" s="23" t="str">
        <f t="shared" si="136"/>
        <v/>
      </c>
      <c r="E938" s="25" t="str">
        <f t="shared" si="137"/>
        <v/>
      </c>
      <c r="F938" s="25" t="str">
        <f>IF($E938="","",ROUND(MIN(Comparison!$D$5,MAX(0,$E938+$H938)),2))</f>
        <v/>
      </c>
      <c r="G938" s="25" t="str">
        <f>IF($E938="","",ROUND(MIN(Inputs!$B$10,MAX(0,$E938+$H938-$F938)),2))</f>
        <v/>
      </c>
      <c r="H938" s="25" t="str">
        <f>IF($E938="","",ROUND(IF(Inputs!$B$12="Daily Simple Interest",$E938*Inputs!$B$6/Inputs!$B$17*$D938,$E938*Inputs!$B$6/Inputs!$B$20),2))</f>
        <v/>
      </c>
      <c r="I938" s="25" t="str">
        <f t="shared" si="138"/>
        <v/>
      </c>
      <c r="J938" s="25" t="str">
        <f>IF($E938="","",IF($F938+$G938&gt;0,Inputs!$B$11,0))</f>
        <v/>
      </c>
      <c r="K938" s="25" t="str">
        <f t="shared" si="139"/>
        <v/>
      </c>
      <c r="L938" s="25" t="str">
        <f t="shared" si="140"/>
        <v/>
      </c>
      <c r="M938" s="25" t="str">
        <f t="shared" si="141"/>
        <v/>
      </c>
      <c r="N938" s="84" t="str">
        <f t="shared" si="142"/>
        <v/>
      </c>
      <c r="O938" s="23" t="str">
        <f t="shared" si="143"/>
        <v/>
      </c>
    </row>
    <row r="939" spans="1:15" ht="20" customHeight="1">
      <c r="A939" s="22" t="str">
        <f t="shared" si="135"/>
        <v/>
      </c>
      <c r="B939" s="23" t="str">
        <f>IF($E939="","",253)</f>
        <v/>
      </c>
      <c r="C939" s="24" t="str">
        <f>IF($E939="","",Inputs!$B$9+(252*Inputs!$B$21))</f>
        <v/>
      </c>
      <c r="D939" s="23" t="str">
        <f t="shared" si="136"/>
        <v/>
      </c>
      <c r="E939" s="25" t="str">
        <f t="shared" si="137"/>
        <v/>
      </c>
      <c r="F939" s="25" t="str">
        <f>IF($E939="","",ROUND(MIN(Comparison!$D$5,MAX(0,$E939+$H939)),2))</f>
        <v/>
      </c>
      <c r="G939" s="25" t="str">
        <f>IF($E939="","",ROUND(MIN(Inputs!$B$10,MAX(0,$E939+$H939-$F939)),2))</f>
        <v/>
      </c>
      <c r="H939" s="25" t="str">
        <f>IF($E939="","",ROUND(IF(Inputs!$B$12="Daily Simple Interest",$E939*Inputs!$B$6/Inputs!$B$17*$D939,$E939*Inputs!$B$6/Inputs!$B$20),2))</f>
        <v/>
      </c>
      <c r="I939" s="25" t="str">
        <f t="shared" si="138"/>
        <v/>
      </c>
      <c r="J939" s="25" t="str">
        <f>IF($E939="","",IF($F939+$G939&gt;0,Inputs!$B$11,0))</f>
        <v/>
      </c>
      <c r="K939" s="25" t="str">
        <f t="shared" si="139"/>
        <v/>
      </c>
      <c r="L939" s="25" t="str">
        <f t="shared" si="140"/>
        <v/>
      </c>
      <c r="M939" s="25" t="str">
        <f t="shared" si="141"/>
        <v/>
      </c>
      <c r="N939" s="84" t="str">
        <f t="shared" si="142"/>
        <v/>
      </c>
      <c r="O939" s="23" t="str">
        <f t="shared" si="143"/>
        <v/>
      </c>
    </row>
    <row r="940" spans="1:15" ht="20" customHeight="1">
      <c r="A940" s="22" t="str">
        <f t="shared" si="135"/>
        <v/>
      </c>
      <c r="B940" s="23" t="str">
        <f>IF($E940="","",254)</f>
        <v/>
      </c>
      <c r="C940" s="24" t="str">
        <f>IF($E940="","",Inputs!$B$9+(253*Inputs!$B$21))</f>
        <v/>
      </c>
      <c r="D940" s="23" t="str">
        <f t="shared" si="136"/>
        <v/>
      </c>
      <c r="E940" s="25" t="str">
        <f t="shared" si="137"/>
        <v/>
      </c>
      <c r="F940" s="25" t="str">
        <f>IF($E940="","",ROUND(MIN(Comparison!$D$5,MAX(0,$E940+$H940)),2))</f>
        <v/>
      </c>
      <c r="G940" s="25" t="str">
        <f>IF($E940="","",ROUND(MIN(Inputs!$B$10,MAX(0,$E940+$H940-$F940)),2))</f>
        <v/>
      </c>
      <c r="H940" s="25" t="str">
        <f>IF($E940="","",ROUND(IF(Inputs!$B$12="Daily Simple Interest",$E940*Inputs!$B$6/Inputs!$B$17*$D940,$E940*Inputs!$B$6/Inputs!$B$20),2))</f>
        <v/>
      </c>
      <c r="I940" s="25" t="str">
        <f t="shared" si="138"/>
        <v/>
      </c>
      <c r="J940" s="25" t="str">
        <f>IF($E940="","",IF($F940+$G940&gt;0,Inputs!$B$11,0))</f>
        <v/>
      </c>
      <c r="K940" s="25" t="str">
        <f t="shared" si="139"/>
        <v/>
      </c>
      <c r="L940" s="25" t="str">
        <f t="shared" si="140"/>
        <v/>
      </c>
      <c r="M940" s="25" t="str">
        <f t="shared" si="141"/>
        <v/>
      </c>
      <c r="N940" s="84" t="str">
        <f t="shared" si="142"/>
        <v/>
      </c>
      <c r="O940" s="23" t="str">
        <f t="shared" si="143"/>
        <v/>
      </c>
    </row>
    <row r="941" spans="1:15" ht="20" customHeight="1">
      <c r="A941" s="22" t="str">
        <f t="shared" si="135"/>
        <v/>
      </c>
      <c r="B941" s="23" t="str">
        <f>IF($E941="","",255)</f>
        <v/>
      </c>
      <c r="C941" s="24" t="str">
        <f>IF($E941="","",Inputs!$B$9+(254*Inputs!$B$21))</f>
        <v/>
      </c>
      <c r="D941" s="23" t="str">
        <f t="shared" si="136"/>
        <v/>
      </c>
      <c r="E941" s="25" t="str">
        <f t="shared" si="137"/>
        <v/>
      </c>
      <c r="F941" s="25" t="str">
        <f>IF($E941="","",ROUND(MIN(Comparison!$D$5,MAX(0,$E941+$H941)),2))</f>
        <v/>
      </c>
      <c r="G941" s="25" t="str">
        <f>IF($E941="","",ROUND(MIN(Inputs!$B$10,MAX(0,$E941+$H941-$F941)),2))</f>
        <v/>
      </c>
      <c r="H941" s="25" t="str">
        <f>IF($E941="","",ROUND(IF(Inputs!$B$12="Daily Simple Interest",$E941*Inputs!$B$6/Inputs!$B$17*$D941,$E941*Inputs!$B$6/Inputs!$B$20),2))</f>
        <v/>
      </c>
      <c r="I941" s="25" t="str">
        <f t="shared" si="138"/>
        <v/>
      </c>
      <c r="J941" s="25" t="str">
        <f>IF($E941="","",IF($F941+$G941&gt;0,Inputs!$B$11,0))</f>
        <v/>
      </c>
      <c r="K941" s="25" t="str">
        <f t="shared" si="139"/>
        <v/>
      </c>
      <c r="L941" s="25" t="str">
        <f t="shared" si="140"/>
        <v/>
      </c>
      <c r="M941" s="25" t="str">
        <f t="shared" si="141"/>
        <v/>
      </c>
      <c r="N941" s="84" t="str">
        <f t="shared" si="142"/>
        <v/>
      </c>
      <c r="O941" s="23" t="str">
        <f t="shared" si="143"/>
        <v/>
      </c>
    </row>
    <row r="942" spans="1:15" ht="20" customHeight="1">
      <c r="A942" s="22" t="str">
        <f t="shared" si="135"/>
        <v/>
      </c>
      <c r="B942" s="23" t="str">
        <f>IF($E942="","",256)</f>
        <v/>
      </c>
      <c r="C942" s="24" t="str">
        <f>IF($E942="","",Inputs!$B$9+(255*Inputs!$B$21))</f>
        <v/>
      </c>
      <c r="D942" s="23" t="str">
        <f t="shared" si="136"/>
        <v/>
      </c>
      <c r="E942" s="25" t="str">
        <f t="shared" si="137"/>
        <v/>
      </c>
      <c r="F942" s="25" t="str">
        <f>IF($E942="","",ROUND(MIN(Comparison!$D$5,MAX(0,$E942+$H942)),2))</f>
        <v/>
      </c>
      <c r="G942" s="25" t="str">
        <f>IF($E942="","",ROUND(MIN(Inputs!$B$10,MAX(0,$E942+$H942-$F942)),2))</f>
        <v/>
      </c>
      <c r="H942" s="25" t="str">
        <f>IF($E942="","",ROUND(IF(Inputs!$B$12="Daily Simple Interest",$E942*Inputs!$B$6/Inputs!$B$17*$D942,$E942*Inputs!$B$6/Inputs!$B$20),2))</f>
        <v/>
      </c>
      <c r="I942" s="25" t="str">
        <f t="shared" si="138"/>
        <v/>
      </c>
      <c r="J942" s="25" t="str">
        <f>IF($E942="","",IF($F942+$G942&gt;0,Inputs!$B$11,0))</f>
        <v/>
      </c>
      <c r="K942" s="25" t="str">
        <f t="shared" si="139"/>
        <v/>
      </c>
      <c r="L942" s="25" t="str">
        <f t="shared" si="140"/>
        <v/>
      </c>
      <c r="M942" s="25" t="str">
        <f t="shared" si="141"/>
        <v/>
      </c>
      <c r="N942" s="84" t="str">
        <f t="shared" si="142"/>
        <v/>
      </c>
      <c r="O942" s="23" t="str">
        <f t="shared" si="143"/>
        <v/>
      </c>
    </row>
    <row r="943" spans="1:15" ht="20" customHeight="1">
      <c r="A943" s="22" t="str">
        <f t="shared" ref="A943:A1006" si="144">IF($E943="","","True Biweekly")</f>
        <v/>
      </c>
      <c r="B943" s="23" t="str">
        <f>IF($E943="","",257)</f>
        <v/>
      </c>
      <c r="C943" s="24" t="str">
        <f>IF($E943="","",Inputs!$B$9+(256*Inputs!$B$21))</f>
        <v/>
      </c>
      <c r="D943" s="23" t="str">
        <f t="shared" si="136"/>
        <v/>
      </c>
      <c r="E943" s="25" t="str">
        <f t="shared" si="137"/>
        <v/>
      </c>
      <c r="F943" s="25" t="str">
        <f>IF($E943="","",ROUND(MIN(Comparison!$D$5,MAX(0,$E943+$H943)),2))</f>
        <v/>
      </c>
      <c r="G943" s="25" t="str">
        <f>IF($E943="","",ROUND(MIN(Inputs!$B$10,MAX(0,$E943+$H943-$F943)),2))</f>
        <v/>
      </c>
      <c r="H943" s="25" t="str">
        <f>IF($E943="","",ROUND(IF(Inputs!$B$12="Daily Simple Interest",$E943*Inputs!$B$6/Inputs!$B$17*$D943,$E943*Inputs!$B$6/Inputs!$B$20),2))</f>
        <v/>
      </c>
      <c r="I943" s="25" t="str">
        <f t="shared" si="138"/>
        <v/>
      </c>
      <c r="J943" s="25" t="str">
        <f>IF($E943="","",IF($F943+$G943&gt;0,Inputs!$B$11,0))</f>
        <v/>
      </c>
      <c r="K943" s="25" t="str">
        <f t="shared" si="139"/>
        <v/>
      </c>
      <c r="L943" s="25" t="str">
        <f t="shared" si="140"/>
        <v/>
      </c>
      <c r="M943" s="25" t="str">
        <f t="shared" si="141"/>
        <v/>
      </c>
      <c r="N943" s="84" t="str">
        <f t="shared" si="142"/>
        <v/>
      </c>
      <c r="O943" s="23" t="str">
        <f t="shared" si="143"/>
        <v/>
      </c>
    </row>
    <row r="944" spans="1:15" ht="20" customHeight="1">
      <c r="A944" s="22" t="str">
        <f t="shared" si="144"/>
        <v/>
      </c>
      <c r="B944" s="23" t="str">
        <f>IF($E944="","",258)</f>
        <v/>
      </c>
      <c r="C944" s="24" t="str">
        <f>IF($E944="","",Inputs!$B$9+(257*Inputs!$B$21))</f>
        <v/>
      </c>
      <c r="D944" s="23" t="str">
        <f t="shared" ref="D944:D1007" si="145">IF($E944="","",$C944-$C943)</f>
        <v/>
      </c>
      <c r="E944" s="25" t="str">
        <f t="shared" ref="E944:E1007" si="146">IF($K943&gt;0.005,$K943,"")</f>
        <v/>
      </c>
      <c r="F944" s="25" t="str">
        <f>IF($E944="","",ROUND(MIN(Comparison!$D$5,MAX(0,$E944+$H944)),2))</f>
        <v/>
      </c>
      <c r="G944" s="25" t="str">
        <f>IF($E944="","",ROUND(MIN(Inputs!$B$10,MAX(0,$E944+$H944-$F944)),2))</f>
        <v/>
      </c>
      <c r="H944" s="25" t="str">
        <f>IF($E944="","",ROUND(IF(Inputs!$B$12="Daily Simple Interest",$E944*Inputs!$B$6/Inputs!$B$17*$D944,$E944*Inputs!$B$6/Inputs!$B$20),2))</f>
        <v/>
      </c>
      <c r="I944" s="25" t="str">
        <f t="shared" si="138"/>
        <v/>
      </c>
      <c r="J944" s="25" t="str">
        <f>IF($E944="","",IF($F944+$G944&gt;0,Inputs!$B$11,0))</f>
        <v/>
      </c>
      <c r="K944" s="25" t="str">
        <f t="shared" si="139"/>
        <v/>
      </c>
      <c r="L944" s="25" t="str">
        <f t="shared" si="140"/>
        <v/>
      </c>
      <c r="M944" s="25" t="str">
        <f t="shared" si="141"/>
        <v/>
      </c>
      <c r="N944" s="84" t="str">
        <f t="shared" si="142"/>
        <v/>
      </c>
      <c r="O944" s="23" t="str">
        <f t="shared" si="143"/>
        <v/>
      </c>
    </row>
    <row r="945" spans="1:15" ht="20" customHeight="1">
      <c r="A945" s="22" t="str">
        <f t="shared" si="144"/>
        <v/>
      </c>
      <c r="B945" s="23" t="str">
        <f>IF($E945="","",259)</f>
        <v/>
      </c>
      <c r="C945" s="24" t="str">
        <f>IF($E945="","",Inputs!$B$9+(258*Inputs!$B$21))</f>
        <v/>
      </c>
      <c r="D945" s="23" t="str">
        <f t="shared" si="145"/>
        <v/>
      </c>
      <c r="E945" s="25" t="str">
        <f t="shared" si="146"/>
        <v/>
      </c>
      <c r="F945" s="25" t="str">
        <f>IF($E945="","",ROUND(MIN(Comparison!$D$5,MAX(0,$E945+$H945)),2))</f>
        <v/>
      </c>
      <c r="G945" s="25" t="str">
        <f>IF($E945="","",ROUND(MIN(Inputs!$B$10,MAX(0,$E945+$H945-$F945)),2))</f>
        <v/>
      </c>
      <c r="H945" s="25" t="str">
        <f>IF($E945="","",ROUND(IF(Inputs!$B$12="Daily Simple Interest",$E945*Inputs!$B$6/Inputs!$B$17*$D945,$E945*Inputs!$B$6/Inputs!$B$20),2))</f>
        <v/>
      </c>
      <c r="I945" s="25" t="str">
        <f t="shared" si="138"/>
        <v/>
      </c>
      <c r="J945" s="25" t="str">
        <f>IF($E945="","",IF($F945+$G945&gt;0,Inputs!$B$11,0))</f>
        <v/>
      </c>
      <c r="K945" s="25" t="str">
        <f t="shared" si="139"/>
        <v/>
      </c>
      <c r="L945" s="25" t="str">
        <f t="shared" si="140"/>
        <v/>
      </c>
      <c r="M945" s="25" t="str">
        <f t="shared" si="141"/>
        <v/>
      </c>
      <c r="N945" s="84" t="str">
        <f t="shared" si="142"/>
        <v/>
      </c>
      <c r="O945" s="23" t="str">
        <f t="shared" si="143"/>
        <v/>
      </c>
    </row>
    <row r="946" spans="1:15" ht="20" customHeight="1">
      <c r="A946" s="22" t="str">
        <f t="shared" si="144"/>
        <v/>
      </c>
      <c r="B946" s="23" t="str">
        <f>IF($E946="","",260)</f>
        <v/>
      </c>
      <c r="C946" s="24" t="str">
        <f>IF($E946="","",Inputs!$B$9+(259*Inputs!$B$21))</f>
        <v/>
      </c>
      <c r="D946" s="23" t="str">
        <f t="shared" si="145"/>
        <v/>
      </c>
      <c r="E946" s="25" t="str">
        <f t="shared" si="146"/>
        <v/>
      </c>
      <c r="F946" s="25" t="str">
        <f>IF($E946="","",ROUND(MIN(Comparison!$D$5,MAX(0,$E946+$H946)),2))</f>
        <v/>
      </c>
      <c r="G946" s="25" t="str">
        <f>IF($E946="","",ROUND(MIN(Inputs!$B$10,MAX(0,$E946+$H946-$F946)),2))</f>
        <v/>
      </c>
      <c r="H946" s="25" t="str">
        <f>IF($E946="","",ROUND(IF(Inputs!$B$12="Daily Simple Interest",$E946*Inputs!$B$6/Inputs!$B$17*$D946,$E946*Inputs!$B$6/Inputs!$B$20),2))</f>
        <v/>
      </c>
      <c r="I946" s="25" t="str">
        <f t="shared" si="138"/>
        <v/>
      </c>
      <c r="J946" s="25" t="str">
        <f>IF($E946="","",IF($F946+$G946&gt;0,Inputs!$B$11,0))</f>
        <v/>
      </c>
      <c r="K946" s="25" t="str">
        <f t="shared" si="139"/>
        <v/>
      </c>
      <c r="L946" s="25" t="str">
        <f t="shared" si="140"/>
        <v/>
      </c>
      <c r="M946" s="25" t="str">
        <f t="shared" si="141"/>
        <v/>
      </c>
      <c r="N946" s="84" t="str">
        <f t="shared" si="142"/>
        <v/>
      </c>
      <c r="O946" s="23" t="str">
        <f t="shared" si="143"/>
        <v/>
      </c>
    </row>
    <row r="947" spans="1:15" ht="20" customHeight="1">
      <c r="A947" s="22" t="str">
        <f t="shared" si="144"/>
        <v/>
      </c>
      <c r="B947" s="23" t="str">
        <f>IF($E947="","",261)</f>
        <v/>
      </c>
      <c r="C947" s="24" t="str">
        <f>IF($E947="","",Inputs!$B$9+(260*Inputs!$B$21))</f>
        <v/>
      </c>
      <c r="D947" s="23" t="str">
        <f t="shared" si="145"/>
        <v/>
      </c>
      <c r="E947" s="25" t="str">
        <f t="shared" si="146"/>
        <v/>
      </c>
      <c r="F947" s="25" t="str">
        <f>IF($E947="","",ROUND(MIN(Comparison!$D$5,MAX(0,$E947+$H947)),2))</f>
        <v/>
      </c>
      <c r="G947" s="25" t="str">
        <f>IF($E947="","",ROUND(MIN(Inputs!$B$10,MAX(0,$E947+$H947-$F947)),2))</f>
        <v/>
      </c>
      <c r="H947" s="25" t="str">
        <f>IF($E947="","",ROUND(IF(Inputs!$B$12="Daily Simple Interest",$E947*Inputs!$B$6/Inputs!$B$17*$D947,$E947*Inputs!$B$6/Inputs!$B$20),2))</f>
        <v/>
      </c>
      <c r="I947" s="25" t="str">
        <f t="shared" si="138"/>
        <v/>
      </c>
      <c r="J947" s="25" t="str">
        <f>IF($E947="","",IF($F947+$G947&gt;0,Inputs!$B$11,0))</f>
        <v/>
      </c>
      <c r="K947" s="25" t="str">
        <f t="shared" si="139"/>
        <v/>
      </c>
      <c r="L947" s="25" t="str">
        <f t="shared" si="140"/>
        <v/>
      </c>
      <c r="M947" s="25" t="str">
        <f t="shared" si="141"/>
        <v/>
      </c>
      <c r="N947" s="84" t="str">
        <f t="shared" si="142"/>
        <v/>
      </c>
      <c r="O947" s="23" t="str">
        <f t="shared" si="143"/>
        <v/>
      </c>
    </row>
    <row r="948" spans="1:15" ht="20" customHeight="1">
      <c r="A948" s="22" t="str">
        <f t="shared" si="144"/>
        <v/>
      </c>
      <c r="B948" s="23" t="str">
        <f>IF($E948="","",262)</f>
        <v/>
      </c>
      <c r="C948" s="24" t="str">
        <f>IF($E948="","",Inputs!$B$9+(261*Inputs!$B$21))</f>
        <v/>
      </c>
      <c r="D948" s="23" t="str">
        <f t="shared" si="145"/>
        <v/>
      </c>
      <c r="E948" s="25" t="str">
        <f t="shared" si="146"/>
        <v/>
      </c>
      <c r="F948" s="25" t="str">
        <f>IF($E948="","",ROUND(MIN(Comparison!$D$5,MAX(0,$E948+$H948)),2))</f>
        <v/>
      </c>
      <c r="G948" s="25" t="str">
        <f>IF($E948="","",ROUND(MIN(Inputs!$B$10,MAX(0,$E948+$H948-$F948)),2))</f>
        <v/>
      </c>
      <c r="H948" s="25" t="str">
        <f>IF($E948="","",ROUND(IF(Inputs!$B$12="Daily Simple Interest",$E948*Inputs!$B$6/Inputs!$B$17*$D948,$E948*Inputs!$B$6/Inputs!$B$20),2))</f>
        <v/>
      </c>
      <c r="I948" s="25" t="str">
        <f t="shared" si="138"/>
        <v/>
      </c>
      <c r="J948" s="25" t="str">
        <f>IF($E948="","",IF($F948+$G948&gt;0,Inputs!$B$11,0))</f>
        <v/>
      </c>
      <c r="K948" s="25" t="str">
        <f t="shared" si="139"/>
        <v/>
      </c>
      <c r="L948" s="25" t="str">
        <f t="shared" si="140"/>
        <v/>
      </c>
      <c r="M948" s="25" t="str">
        <f t="shared" si="141"/>
        <v/>
      </c>
      <c r="N948" s="84" t="str">
        <f t="shared" si="142"/>
        <v/>
      </c>
      <c r="O948" s="23" t="str">
        <f t="shared" si="143"/>
        <v/>
      </c>
    </row>
    <row r="949" spans="1:15" ht="20" customHeight="1">
      <c r="A949" s="22" t="str">
        <f t="shared" si="144"/>
        <v/>
      </c>
      <c r="B949" s="23" t="str">
        <f>IF($E949="","",263)</f>
        <v/>
      </c>
      <c r="C949" s="24" t="str">
        <f>IF($E949="","",Inputs!$B$9+(262*Inputs!$B$21))</f>
        <v/>
      </c>
      <c r="D949" s="23" t="str">
        <f t="shared" si="145"/>
        <v/>
      </c>
      <c r="E949" s="25" t="str">
        <f t="shared" si="146"/>
        <v/>
      </c>
      <c r="F949" s="25" t="str">
        <f>IF($E949="","",ROUND(MIN(Comparison!$D$5,MAX(0,$E949+$H949)),2))</f>
        <v/>
      </c>
      <c r="G949" s="25" t="str">
        <f>IF($E949="","",ROUND(MIN(Inputs!$B$10,MAX(0,$E949+$H949-$F949)),2))</f>
        <v/>
      </c>
      <c r="H949" s="25" t="str">
        <f>IF($E949="","",ROUND(IF(Inputs!$B$12="Daily Simple Interest",$E949*Inputs!$B$6/Inputs!$B$17*$D949,$E949*Inputs!$B$6/Inputs!$B$20),2))</f>
        <v/>
      </c>
      <c r="I949" s="25" t="str">
        <f t="shared" si="138"/>
        <v/>
      </c>
      <c r="J949" s="25" t="str">
        <f>IF($E949="","",IF($F949+$G949&gt;0,Inputs!$B$11,0))</f>
        <v/>
      </c>
      <c r="K949" s="25" t="str">
        <f t="shared" si="139"/>
        <v/>
      </c>
      <c r="L949" s="25" t="str">
        <f t="shared" si="140"/>
        <v/>
      </c>
      <c r="M949" s="25" t="str">
        <f t="shared" si="141"/>
        <v/>
      </c>
      <c r="N949" s="84" t="str">
        <f t="shared" si="142"/>
        <v/>
      </c>
      <c r="O949" s="23" t="str">
        <f t="shared" si="143"/>
        <v/>
      </c>
    </row>
    <row r="950" spans="1:15" ht="20" customHeight="1">
      <c r="A950" s="22" t="str">
        <f t="shared" si="144"/>
        <v/>
      </c>
      <c r="B950" s="23" t="str">
        <f>IF($E950="","",264)</f>
        <v/>
      </c>
      <c r="C950" s="24" t="str">
        <f>IF($E950="","",Inputs!$B$9+(263*Inputs!$B$21))</f>
        <v/>
      </c>
      <c r="D950" s="23" t="str">
        <f t="shared" si="145"/>
        <v/>
      </c>
      <c r="E950" s="25" t="str">
        <f t="shared" si="146"/>
        <v/>
      </c>
      <c r="F950" s="25" t="str">
        <f>IF($E950="","",ROUND(MIN(Comparison!$D$5,MAX(0,$E950+$H950)),2))</f>
        <v/>
      </c>
      <c r="G950" s="25" t="str">
        <f>IF($E950="","",ROUND(MIN(Inputs!$B$10,MAX(0,$E950+$H950-$F950)),2))</f>
        <v/>
      </c>
      <c r="H950" s="25" t="str">
        <f>IF($E950="","",ROUND(IF(Inputs!$B$12="Daily Simple Interest",$E950*Inputs!$B$6/Inputs!$B$17*$D950,$E950*Inputs!$B$6/Inputs!$B$20),2))</f>
        <v/>
      </c>
      <c r="I950" s="25" t="str">
        <f t="shared" si="138"/>
        <v/>
      </c>
      <c r="J950" s="25" t="str">
        <f>IF($E950="","",IF($F950+$G950&gt;0,Inputs!$B$11,0))</f>
        <v/>
      </c>
      <c r="K950" s="25" t="str">
        <f t="shared" si="139"/>
        <v/>
      </c>
      <c r="L950" s="25" t="str">
        <f t="shared" si="140"/>
        <v/>
      </c>
      <c r="M950" s="25" t="str">
        <f t="shared" si="141"/>
        <v/>
      </c>
      <c r="N950" s="84" t="str">
        <f t="shared" si="142"/>
        <v/>
      </c>
      <c r="O950" s="23" t="str">
        <f t="shared" si="143"/>
        <v/>
      </c>
    </row>
    <row r="951" spans="1:15" ht="20" customHeight="1">
      <c r="A951" s="22" t="str">
        <f t="shared" si="144"/>
        <v/>
      </c>
      <c r="B951" s="23" t="str">
        <f>IF($E951="","",265)</f>
        <v/>
      </c>
      <c r="C951" s="24" t="str">
        <f>IF($E951="","",Inputs!$B$9+(264*Inputs!$B$21))</f>
        <v/>
      </c>
      <c r="D951" s="23" t="str">
        <f t="shared" si="145"/>
        <v/>
      </c>
      <c r="E951" s="25" t="str">
        <f t="shared" si="146"/>
        <v/>
      </c>
      <c r="F951" s="25" t="str">
        <f>IF($E951="","",ROUND(MIN(Comparison!$D$5,MAX(0,$E951+$H951)),2))</f>
        <v/>
      </c>
      <c r="G951" s="25" t="str">
        <f>IF($E951="","",ROUND(MIN(Inputs!$B$10,MAX(0,$E951+$H951-$F951)),2))</f>
        <v/>
      </c>
      <c r="H951" s="25" t="str">
        <f>IF($E951="","",ROUND(IF(Inputs!$B$12="Daily Simple Interest",$E951*Inputs!$B$6/Inputs!$B$17*$D951,$E951*Inputs!$B$6/Inputs!$B$20),2))</f>
        <v/>
      </c>
      <c r="I951" s="25" t="str">
        <f t="shared" si="138"/>
        <v/>
      </c>
      <c r="J951" s="25" t="str">
        <f>IF($E951="","",IF($F951+$G951&gt;0,Inputs!$B$11,0))</f>
        <v/>
      </c>
      <c r="K951" s="25" t="str">
        <f t="shared" si="139"/>
        <v/>
      </c>
      <c r="L951" s="25" t="str">
        <f t="shared" si="140"/>
        <v/>
      </c>
      <c r="M951" s="25" t="str">
        <f t="shared" si="141"/>
        <v/>
      </c>
      <c r="N951" s="84" t="str">
        <f t="shared" si="142"/>
        <v/>
      </c>
      <c r="O951" s="23" t="str">
        <f t="shared" si="143"/>
        <v/>
      </c>
    </row>
    <row r="952" spans="1:15" ht="20" customHeight="1">
      <c r="A952" s="22" t="str">
        <f t="shared" si="144"/>
        <v/>
      </c>
      <c r="B952" s="23" t="str">
        <f>IF($E952="","",266)</f>
        <v/>
      </c>
      <c r="C952" s="24" t="str">
        <f>IF($E952="","",Inputs!$B$9+(265*Inputs!$B$21))</f>
        <v/>
      </c>
      <c r="D952" s="23" t="str">
        <f t="shared" si="145"/>
        <v/>
      </c>
      <c r="E952" s="25" t="str">
        <f t="shared" si="146"/>
        <v/>
      </c>
      <c r="F952" s="25" t="str">
        <f>IF($E952="","",ROUND(MIN(Comparison!$D$5,MAX(0,$E952+$H952)),2))</f>
        <v/>
      </c>
      <c r="G952" s="25" t="str">
        <f>IF($E952="","",ROUND(MIN(Inputs!$B$10,MAX(0,$E952+$H952-$F952)),2))</f>
        <v/>
      </c>
      <c r="H952" s="25" t="str">
        <f>IF($E952="","",ROUND(IF(Inputs!$B$12="Daily Simple Interest",$E952*Inputs!$B$6/Inputs!$B$17*$D952,$E952*Inputs!$B$6/Inputs!$B$20),2))</f>
        <v/>
      </c>
      <c r="I952" s="25" t="str">
        <f t="shared" si="138"/>
        <v/>
      </c>
      <c r="J952" s="25" t="str">
        <f>IF($E952="","",IF($F952+$G952&gt;0,Inputs!$B$11,0))</f>
        <v/>
      </c>
      <c r="K952" s="25" t="str">
        <f t="shared" si="139"/>
        <v/>
      </c>
      <c r="L952" s="25" t="str">
        <f t="shared" si="140"/>
        <v/>
      </c>
      <c r="M952" s="25" t="str">
        <f t="shared" si="141"/>
        <v/>
      </c>
      <c r="N952" s="84" t="str">
        <f t="shared" si="142"/>
        <v/>
      </c>
      <c r="O952" s="23" t="str">
        <f t="shared" si="143"/>
        <v/>
      </c>
    </row>
    <row r="953" spans="1:15" ht="20" customHeight="1">
      <c r="A953" s="22" t="str">
        <f t="shared" si="144"/>
        <v/>
      </c>
      <c r="B953" s="23" t="str">
        <f>IF($E953="","",267)</f>
        <v/>
      </c>
      <c r="C953" s="24" t="str">
        <f>IF($E953="","",Inputs!$B$9+(266*Inputs!$B$21))</f>
        <v/>
      </c>
      <c r="D953" s="23" t="str">
        <f t="shared" si="145"/>
        <v/>
      </c>
      <c r="E953" s="25" t="str">
        <f t="shared" si="146"/>
        <v/>
      </c>
      <c r="F953" s="25" t="str">
        <f>IF($E953="","",ROUND(MIN(Comparison!$D$5,MAX(0,$E953+$H953)),2))</f>
        <v/>
      </c>
      <c r="G953" s="25" t="str">
        <f>IF($E953="","",ROUND(MIN(Inputs!$B$10,MAX(0,$E953+$H953-$F953)),2))</f>
        <v/>
      </c>
      <c r="H953" s="25" t="str">
        <f>IF($E953="","",ROUND(IF(Inputs!$B$12="Daily Simple Interest",$E953*Inputs!$B$6/Inputs!$B$17*$D953,$E953*Inputs!$B$6/Inputs!$B$20),2))</f>
        <v/>
      </c>
      <c r="I953" s="25" t="str">
        <f t="shared" si="138"/>
        <v/>
      </c>
      <c r="J953" s="25" t="str">
        <f>IF($E953="","",IF($F953+$G953&gt;0,Inputs!$B$11,0))</f>
        <v/>
      </c>
      <c r="K953" s="25" t="str">
        <f t="shared" si="139"/>
        <v/>
      </c>
      <c r="L953" s="25" t="str">
        <f t="shared" si="140"/>
        <v/>
      </c>
      <c r="M953" s="25" t="str">
        <f t="shared" si="141"/>
        <v/>
      </c>
      <c r="N953" s="84" t="str">
        <f t="shared" si="142"/>
        <v/>
      </c>
      <c r="O953" s="23" t="str">
        <f t="shared" si="143"/>
        <v/>
      </c>
    </row>
    <row r="954" spans="1:15" ht="20" customHeight="1">
      <c r="A954" s="22" t="str">
        <f t="shared" si="144"/>
        <v/>
      </c>
      <c r="B954" s="23" t="str">
        <f>IF($E954="","",268)</f>
        <v/>
      </c>
      <c r="C954" s="24" t="str">
        <f>IF($E954="","",Inputs!$B$9+(267*Inputs!$B$21))</f>
        <v/>
      </c>
      <c r="D954" s="23" t="str">
        <f t="shared" si="145"/>
        <v/>
      </c>
      <c r="E954" s="25" t="str">
        <f t="shared" si="146"/>
        <v/>
      </c>
      <c r="F954" s="25" t="str">
        <f>IF($E954="","",ROUND(MIN(Comparison!$D$5,MAX(0,$E954+$H954)),2))</f>
        <v/>
      </c>
      <c r="G954" s="25" t="str">
        <f>IF($E954="","",ROUND(MIN(Inputs!$B$10,MAX(0,$E954+$H954-$F954)),2))</f>
        <v/>
      </c>
      <c r="H954" s="25" t="str">
        <f>IF($E954="","",ROUND(IF(Inputs!$B$12="Daily Simple Interest",$E954*Inputs!$B$6/Inputs!$B$17*$D954,$E954*Inputs!$B$6/Inputs!$B$20),2))</f>
        <v/>
      </c>
      <c r="I954" s="25" t="str">
        <f t="shared" si="138"/>
        <v/>
      </c>
      <c r="J954" s="25" t="str">
        <f>IF($E954="","",IF($F954+$G954&gt;0,Inputs!$B$11,0))</f>
        <v/>
      </c>
      <c r="K954" s="25" t="str">
        <f t="shared" si="139"/>
        <v/>
      </c>
      <c r="L954" s="25" t="str">
        <f t="shared" si="140"/>
        <v/>
      </c>
      <c r="M954" s="25" t="str">
        <f t="shared" si="141"/>
        <v/>
      </c>
      <c r="N954" s="84" t="str">
        <f t="shared" si="142"/>
        <v/>
      </c>
      <c r="O954" s="23" t="str">
        <f t="shared" si="143"/>
        <v/>
      </c>
    </row>
    <row r="955" spans="1:15" ht="20" customHeight="1">
      <c r="A955" s="22" t="str">
        <f t="shared" si="144"/>
        <v/>
      </c>
      <c r="B955" s="23" t="str">
        <f>IF($E955="","",269)</f>
        <v/>
      </c>
      <c r="C955" s="24" t="str">
        <f>IF($E955="","",Inputs!$B$9+(268*Inputs!$B$21))</f>
        <v/>
      </c>
      <c r="D955" s="23" t="str">
        <f t="shared" si="145"/>
        <v/>
      </c>
      <c r="E955" s="25" t="str">
        <f t="shared" si="146"/>
        <v/>
      </c>
      <c r="F955" s="25" t="str">
        <f>IF($E955="","",ROUND(MIN(Comparison!$D$5,MAX(0,$E955+$H955)),2))</f>
        <v/>
      </c>
      <c r="G955" s="25" t="str">
        <f>IF($E955="","",ROUND(MIN(Inputs!$B$10,MAX(0,$E955+$H955-$F955)),2))</f>
        <v/>
      </c>
      <c r="H955" s="25" t="str">
        <f>IF($E955="","",ROUND(IF(Inputs!$B$12="Daily Simple Interest",$E955*Inputs!$B$6/Inputs!$B$17*$D955,$E955*Inputs!$B$6/Inputs!$B$20),2))</f>
        <v/>
      </c>
      <c r="I955" s="25" t="str">
        <f t="shared" si="138"/>
        <v/>
      </c>
      <c r="J955" s="25" t="str">
        <f>IF($E955="","",IF($F955+$G955&gt;0,Inputs!$B$11,0))</f>
        <v/>
      </c>
      <c r="K955" s="25" t="str">
        <f t="shared" si="139"/>
        <v/>
      </c>
      <c r="L955" s="25" t="str">
        <f t="shared" si="140"/>
        <v/>
      </c>
      <c r="M955" s="25" t="str">
        <f t="shared" si="141"/>
        <v/>
      </c>
      <c r="N955" s="84" t="str">
        <f t="shared" si="142"/>
        <v/>
      </c>
      <c r="O955" s="23" t="str">
        <f t="shared" si="143"/>
        <v/>
      </c>
    </row>
    <row r="956" spans="1:15" ht="20" customHeight="1">
      <c r="A956" s="22" t="str">
        <f t="shared" si="144"/>
        <v/>
      </c>
      <c r="B956" s="23" t="str">
        <f>IF($E956="","",270)</f>
        <v/>
      </c>
      <c r="C956" s="24" t="str">
        <f>IF($E956="","",Inputs!$B$9+(269*Inputs!$B$21))</f>
        <v/>
      </c>
      <c r="D956" s="23" t="str">
        <f t="shared" si="145"/>
        <v/>
      </c>
      <c r="E956" s="25" t="str">
        <f t="shared" si="146"/>
        <v/>
      </c>
      <c r="F956" s="25" t="str">
        <f>IF($E956="","",ROUND(MIN(Comparison!$D$5,MAX(0,$E956+$H956)),2))</f>
        <v/>
      </c>
      <c r="G956" s="25" t="str">
        <f>IF($E956="","",ROUND(MIN(Inputs!$B$10,MAX(0,$E956+$H956-$F956)),2))</f>
        <v/>
      </c>
      <c r="H956" s="25" t="str">
        <f>IF($E956="","",ROUND(IF(Inputs!$B$12="Daily Simple Interest",$E956*Inputs!$B$6/Inputs!$B$17*$D956,$E956*Inputs!$B$6/Inputs!$B$20),2))</f>
        <v/>
      </c>
      <c r="I956" s="25" t="str">
        <f t="shared" si="138"/>
        <v/>
      </c>
      <c r="J956" s="25" t="str">
        <f>IF($E956="","",IF($F956+$G956&gt;0,Inputs!$B$11,0))</f>
        <v/>
      </c>
      <c r="K956" s="25" t="str">
        <f t="shared" si="139"/>
        <v/>
      </c>
      <c r="L956" s="25" t="str">
        <f t="shared" si="140"/>
        <v/>
      </c>
      <c r="M956" s="25" t="str">
        <f t="shared" si="141"/>
        <v/>
      </c>
      <c r="N956" s="84" t="str">
        <f t="shared" si="142"/>
        <v/>
      </c>
      <c r="O956" s="23" t="str">
        <f t="shared" si="143"/>
        <v/>
      </c>
    </row>
    <row r="957" spans="1:15" ht="20" customHeight="1">
      <c r="A957" s="22" t="str">
        <f t="shared" si="144"/>
        <v/>
      </c>
      <c r="B957" s="23" t="str">
        <f>IF($E957="","",271)</f>
        <v/>
      </c>
      <c r="C957" s="24" t="str">
        <f>IF($E957="","",Inputs!$B$9+(270*Inputs!$B$21))</f>
        <v/>
      </c>
      <c r="D957" s="23" t="str">
        <f t="shared" si="145"/>
        <v/>
      </c>
      <c r="E957" s="25" t="str">
        <f t="shared" si="146"/>
        <v/>
      </c>
      <c r="F957" s="25" t="str">
        <f>IF($E957="","",ROUND(MIN(Comparison!$D$5,MAX(0,$E957+$H957)),2))</f>
        <v/>
      </c>
      <c r="G957" s="25" t="str">
        <f>IF($E957="","",ROUND(MIN(Inputs!$B$10,MAX(0,$E957+$H957-$F957)),2))</f>
        <v/>
      </c>
      <c r="H957" s="25" t="str">
        <f>IF($E957="","",ROUND(IF(Inputs!$B$12="Daily Simple Interest",$E957*Inputs!$B$6/Inputs!$B$17*$D957,$E957*Inputs!$B$6/Inputs!$B$20),2))</f>
        <v/>
      </c>
      <c r="I957" s="25" t="str">
        <f t="shared" si="138"/>
        <v/>
      </c>
      <c r="J957" s="25" t="str">
        <f>IF($E957="","",IF($F957+$G957&gt;0,Inputs!$B$11,0))</f>
        <v/>
      </c>
      <c r="K957" s="25" t="str">
        <f t="shared" si="139"/>
        <v/>
      </c>
      <c r="L957" s="25" t="str">
        <f t="shared" si="140"/>
        <v/>
      </c>
      <c r="M957" s="25" t="str">
        <f t="shared" si="141"/>
        <v/>
      </c>
      <c r="N957" s="84" t="str">
        <f t="shared" si="142"/>
        <v/>
      </c>
      <c r="O957" s="23" t="str">
        <f t="shared" si="143"/>
        <v/>
      </c>
    </row>
    <row r="958" spans="1:15" ht="20" customHeight="1">
      <c r="A958" s="22" t="str">
        <f t="shared" si="144"/>
        <v/>
      </c>
      <c r="B958" s="23" t="str">
        <f>IF($E958="","",272)</f>
        <v/>
      </c>
      <c r="C958" s="24" t="str">
        <f>IF($E958="","",Inputs!$B$9+(271*Inputs!$B$21))</f>
        <v/>
      </c>
      <c r="D958" s="23" t="str">
        <f t="shared" si="145"/>
        <v/>
      </c>
      <c r="E958" s="25" t="str">
        <f t="shared" si="146"/>
        <v/>
      </c>
      <c r="F958" s="25" t="str">
        <f>IF($E958="","",ROUND(MIN(Comparison!$D$5,MAX(0,$E958+$H958)),2))</f>
        <v/>
      </c>
      <c r="G958" s="25" t="str">
        <f>IF($E958="","",ROUND(MIN(Inputs!$B$10,MAX(0,$E958+$H958-$F958)),2))</f>
        <v/>
      </c>
      <c r="H958" s="25" t="str">
        <f>IF($E958="","",ROUND(IF(Inputs!$B$12="Daily Simple Interest",$E958*Inputs!$B$6/Inputs!$B$17*$D958,$E958*Inputs!$B$6/Inputs!$B$20),2))</f>
        <v/>
      </c>
      <c r="I958" s="25" t="str">
        <f t="shared" si="138"/>
        <v/>
      </c>
      <c r="J958" s="25" t="str">
        <f>IF($E958="","",IF($F958+$G958&gt;0,Inputs!$B$11,0))</f>
        <v/>
      </c>
      <c r="K958" s="25" t="str">
        <f t="shared" si="139"/>
        <v/>
      </c>
      <c r="L958" s="25" t="str">
        <f t="shared" si="140"/>
        <v/>
      </c>
      <c r="M958" s="25" t="str">
        <f t="shared" si="141"/>
        <v/>
      </c>
      <c r="N958" s="84" t="str">
        <f t="shared" si="142"/>
        <v/>
      </c>
      <c r="O958" s="23" t="str">
        <f t="shared" si="143"/>
        <v/>
      </c>
    </row>
    <row r="959" spans="1:15" ht="20" customHeight="1">
      <c r="A959" s="22" t="str">
        <f t="shared" si="144"/>
        <v/>
      </c>
      <c r="B959" s="23" t="str">
        <f>IF($E959="","",273)</f>
        <v/>
      </c>
      <c r="C959" s="24" t="str">
        <f>IF($E959="","",Inputs!$B$9+(272*Inputs!$B$21))</f>
        <v/>
      </c>
      <c r="D959" s="23" t="str">
        <f t="shared" si="145"/>
        <v/>
      </c>
      <c r="E959" s="25" t="str">
        <f t="shared" si="146"/>
        <v/>
      </c>
      <c r="F959" s="25" t="str">
        <f>IF($E959="","",ROUND(MIN(Comparison!$D$5,MAX(0,$E959+$H959)),2))</f>
        <v/>
      </c>
      <c r="G959" s="25" t="str">
        <f>IF($E959="","",ROUND(MIN(Inputs!$B$10,MAX(0,$E959+$H959-$F959)),2))</f>
        <v/>
      </c>
      <c r="H959" s="25" t="str">
        <f>IF($E959="","",ROUND(IF(Inputs!$B$12="Daily Simple Interest",$E959*Inputs!$B$6/Inputs!$B$17*$D959,$E959*Inputs!$B$6/Inputs!$B$20),2))</f>
        <v/>
      </c>
      <c r="I959" s="25" t="str">
        <f t="shared" si="138"/>
        <v/>
      </c>
      <c r="J959" s="25" t="str">
        <f>IF($E959="","",IF($F959+$G959&gt;0,Inputs!$B$11,0))</f>
        <v/>
      </c>
      <c r="K959" s="25" t="str">
        <f t="shared" si="139"/>
        <v/>
      </c>
      <c r="L959" s="25" t="str">
        <f t="shared" si="140"/>
        <v/>
      </c>
      <c r="M959" s="25" t="str">
        <f t="shared" si="141"/>
        <v/>
      </c>
      <c r="N959" s="84" t="str">
        <f t="shared" si="142"/>
        <v/>
      </c>
      <c r="O959" s="23" t="str">
        <f t="shared" si="143"/>
        <v/>
      </c>
    </row>
    <row r="960" spans="1:15" ht="20" customHeight="1">
      <c r="A960" s="22" t="str">
        <f t="shared" si="144"/>
        <v/>
      </c>
      <c r="B960" s="23" t="str">
        <f>IF($E960="","",274)</f>
        <v/>
      </c>
      <c r="C960" s="24" t="str">
        <f>IF($E960="","",Inputs!$B$9+(273*Inputs!$B$21))</f>
        <v/>
      </c>
      <c r="D960" s="23" t="str">
        <f t="shared" si="145"/>
        <v/>
      </c>
      <c r="E960" s="25" t="str">
        <f t="shared" si="146"/>
        <v/>
      </c>
      <c r="F960" s="25" t="str">
        <f>IF($E960="","",ROUND(MIN(Comparison!$D$5,MAX(0,$E960+$H960)),2))</f>
        <v/>
      </c>
      <c r="G960" s="25" t="str">
        <f>IF($E960="","",ROUND(MIN(Inputs!$B$10,MAX(0,$E960+$H960-$F960)),2))</f>
        <v/>
      </c>
      <c r="H960" s="25" t="str">
        <f>IF($E960="","",ROUND(IF(Inputs!$B$12="Daily Simple Interest",$E960*Inputs!$B$6/Inputs!$B$17*$D960,$E960*Inputs!$B$6/Inputs!$B$20),2))</f>
        <v/>
      </c>
      <c r="I960" s="25" t="str">
        <f t="shared" si="138"/>
        <v/>
      </c>
      <c r="J960" s="25" t="str">
        <f>IF($E960="","",IF($F960+$G960&gt;0,Inputs!$B$11,0))</f>
        <v/>
      </c>
      <c r="K960" s="25" t="str">
        <f t="shared" si="139"/>
        <v/>
      </c>
      <c r="L960" s="25" t="str">
        <f t="shared" si="140"/>
        <v/>
      </c>
      <c r="M960" s="25" t="str">
        <f t="shared" si="141"/>
        <v/>
      </c>
      <c r="N960" s="84" t="str">
        <f t="shared" si="142"/>
        <v/>
      </c>
      <c r="O960" s="23" t="str">
        <f t="shared" si="143"/>
        <v/>
      </c>
    </row>
    <row r="961" spans="1:15" ht="20" customHeight="1">
      <c r="A961" s="22" t="str">
        <f t="shared" si="144"/>
        <v/>
      </c>
      <c r="B961" s="23" t="str">
        <f>IF($E961="","",275)</f>
        <v/>
      </c>
      <c r="C961" s="24" t="str">
        <f>IF($E961="","",Inputs!$B$9+(274*Inputs!$B$21))</f>
        <v/>
      </c>
      <c r="D961" s="23" t="str">
        <f t="shared" si="145"/>
        <v/>
      </c>
      <c r="E961" s="25" t="str">
        <f t="shared" si="146"/>
        <v/>
      </c>
      <c r="F961" s="25" t="str">
        <f>IF($E961="","",ROUND(MIN(Comparison!$D$5,MAX(0,$E961+$H961)),2))</f>
        <v/>
      </c>
      <c r="G961" s="25" t="str">
        <f>IF($E961="","",ROUND(MIN(Inputs!$B$10,MAX(0,$E961+$H961-$F961)),2))</f>
        <v/>
      </c>
      <c r="H961" s="25" t="str">
        <f>IF($E961="","",ROUND(IF(Inputs!$B$12="Daily Simple Interest",$E961*Inputs!$B$6/Inputs!$B$17*$D961,$E961*Inputs!$B$6/Inputs!$B$20),2))</f>
        <v/>
      </c>
      <c r="I961" s="25" t="str">
        <f t="shared" si="138"/>
        <v/>
      </c>
      <c r="J961" s="25" t="str">
        <f>IF($E961="","",IF($F961+$G961&gt;0,Inputs!$B$11,0))</f>
        <v/>
      </c>
      <c r="K961" s="25" t="str">
        <f t="shared" si="139"/>
        <v/>
      </c>
      <c r="L961" s="25" t="str">
        <f t="shared" si="140"/>
        <v/>
      </c>
      <c r="M961" s="25" t="str">
        <f t="shared" si="141"/>
        <v/>
      </c>
      <c r="N961" s="84" t="str">
        <f t="shared" si="142"/>
        <v/>
      </c>
      <c r="O961" s="23" t="str">
        <f t="shared" si="143"/>
        <v/>
      </c>
    </row>
    <row r="962" spans="1:15" ht="20" customHeight="1">
      <c r="A962" s="22" t="str">
        <f t="shared" si="144"/>
        <v/>
      </c>
      <c r="B962" s="23" t="str">
        <f>IF($E962="","",276)</f>
        <v/>
      </c>
      <c r="C962" s="24" t="str">
        <f>IF($E962="","",Inputs!$B$9+(275*Inputs!$B$21))</f>
        <v/>
      </c>
      <c r="D962" s="23" t="str">
        <f t="shared" si="145"/>
        <v/>
      </c>
      <c r="E962" s="25" t="str">
        <f t="shared" si="146"/>
        <v/>
      </c>
      <c r="F962" s="25" t="str">
        <f>IF($E962="","",ROUND(MIN(Comparison!$D$5,MAX(0,$E962+$H962)),2))</f>
        <v/>
      </c>
      <c r="G962" s="25" t="str">
        <f>IF($E962="","",ROUND(MIN(Inputs!$B$10,MAX(0,$E962+$H962-$F962)),2))</f>
        <v/>
      </c>
      <c r="H962" s="25" t="str">
        <f>IF($E962="","",ROUND(IF(Inputs!$B$12="Daily Simple Interest",$E962*Inputs!$B$6/Inputs!$B$17*$D962,$E962*Inputs!$B$6/Inputs!$B$20),2))</f>
        <v/>
      </c>
      <c r="I962" s="25" t="str">
        <f t="shared" si="138"/>
        <v/>
      </c>
      <c r="J962" s="25" t="str">
        <f>IF($E962="","",IF($F962+$G962&gt;0,Inputs!$B$11,0))</f>
        <v/>
      </c>
      <c r="K962" s="25" t="str">
        <f t="shared" si="139"/>
        <v/>
      </c>
      <c r="L962" s="25" t="str">
        <f t="shared" si="140"/>
        <v/>
      </c>
      <c r="M962" s="25" t="str">
        <f t="shared" si="141"/>
        <v/>
      </c>
      <c r="N962" s="84" t="str">
        <f t="shared" si="142"/>
        <v/>
      </c>
      <c r="O962" s="23" t="str">
        <f t="shared" si="143"/>
        <v/>
      </c>
    </row>
    <row r="963" spans="1:15" ht="20" customHeight="1">
      <c r="A963" s="22" t="str">
        <f t="shared" si="144"/>
        <v/>
      </c>
      <c r="B963" s="23" t="str">
        <f>IF($E963="","",277)</f>
        <v/>
      </c>
      <c r="C963" s="24" t="str">
        <f>IF($E963="","",Inputs!$B$9+(276*Inputs!$B$21))</f>
        <v/>
      </c>
      <c r="D963" s="23" t="str">
        <f t="shared" si="145"/>
        <v/>
      </c>
      <c r="E963" s="25" t="str">
        <f t="shared" si="146"/>
        <v/>
      </c>
      <c r="F963" s="25" t="str">
        <f>IF($E963="","",ROUND(MIN(Comparison!$D$5,MAX(0,$E963+$H963)),2))</f>
        <v/>
      </c>
      <c r="G963" s="25" t="str">
        <f>IF($E963="","",ROUND(MIN(Inputs!$B$10,MAX(0,$E963+$H963-$F963)),2))</f>
        <v/>
      </c>
      <c r="H963" s="25" t="str">
        <f>IF($E963="","",ROUND(IF(Inputs!$B$12="Daily Simple Interest",$E963*Inputs!$B$6/Inputs!$B$17*$D963,$E963*Inputs!$B$6/Inputs!$B$20),2))</f>
        <v/>
      </c>
      <c r="I963" s="25" t="str">
        <f t="shared" si="138"/>
        <v/>
      </c>
      <c r="J963" s="25" t="str">
        <f>IF($E963="","",IF($F963+$G963&gt;0,Inputs!$B$11,0))</f>
        <v/>
      </c>
      <c r="K963" s="25" t="str">
        <f t="shared" si="139"/>
        <v/>
      </c>
      <c r="L963" s="25" t="str">
        <f t="shared" si="140"/>
        <v/>
      </c>
      <c r="M963" s="25" t="str">
        <f t="shared" si="141"/>
        <v/>
      </c>
      <c r="N963" s="84" t="str">
        <f t="shared" si="142"/>
        <v/>
      </c>
      <c r="O963" s="23" t="str">
        <f t="shared" si="143"/>
        <v/>
      </c>
    </row>
    <row r="964" spans="1:15" ht="20" customHeight="1">
      <c r="A964" s="22" t="str">
        <f t="shared" si="144"/>
        <v/>
      </c>
      <c r="B964" s="23" t="str">
        <f>IF($E964="","",278)</f>
        <v/>
      </c>
      <c r="C964" s="24" t="str">
        <f>IF($E964="","",Inputs!$B$9+(277*Inputs!$B$21))</f>
        <v/>
      </c>
      <c r="D964" s="23" t="str">
        <f t="shared" si="145"/>
        <v/>
      </c>
      <c r="E964" s="25" t="str">
        <f t="shared" si="146"/>
        <v/>
      </c>
      <c r="F964" s="25" t="str">
        <f>IF($E964="","",ROUND(MIN(Comparison!$D$5,MAX(0,$E964+$H964)),2))</f>
        <v/>
      </c>
      <c r="G964" s="25" t="str">
        <f>IF($E964="","",ROUND(MIN(Inputs!$B$10,MAX(0,$E964+$H964-$F964)),2))</f>
        <v/>
      </c>
      <c r="H964" s="25" t="str">
        <f>IF($E964="","",ROUND(IF(Inputs!$B$12="Daily Simple Interest",$E964*Inputs!$B$6/Inputs!$B$17*$D964,$E964*Inputs!$B$6/Inputs!$B$20),2))</f>
        <v/>
      </c>
      <c r="I964" s="25" t="str">
        <f t="shared" si="138"/>
        <v/>
      </c>
      <c r="J964" s="25" t="str">
        <f>IF($E964="","",IF($F964+$G964&gt;0,Inputs!$B$11,0))</f>
        <v/>
      </c>
      <c r="K964" s="25" t="str">
        <f t="shared" si="139"/>
        <v/>
      </c>
      <c r="L964" s="25" t="str">
        <f t="shared" si="140"/>
        <v/>
      </c>
      <c r="M964" s="25" t="str">
        <f t="shared" si="141"/>
        <v/>
      </c>
      <c r="N964" s="84" t="str">
        <f t="shared" si="142"/>
        <v/>
      </c>
      <c r="O964" s="23" t="str">
        <f t="shared" si="143"/>
        <v/>
      </c>
    </row>
    <row r="965" spans="1:15" ht="20" customHeight="1">
      <c r="A965" s="22" t="str">
        <f t="shared" si="144"/>
        <v/>
      </c>
      <c r="B965" s="23" t="str">
        <f>IF($E965="","",279)</f>
        <v/>
      </c>
      <c r="C965" s="24" t="str">
        <f>IF($E965="","",Inputs!$B$9+(278*Inputs!$B$21))</f>
        <v/>
      </c>
      <c r="D965" s="23" t="str">
        <f t="shared" si="145"/>
        <v/>
      </c>
      <c r="E965" s="25" t="str">
        <f t="shared" si="146"/>
        <v/>
      </c>
      <c r="F965" s="25" t="str">
        <f>IF($E965="","",ROUND(MIN(Comparison!$D$5,MAX(0,$E965+$H965)),2))</f>
        <v/>
      </c>
      <c r="G965" s="25" t="str">
        <f>IF($E965="","",ROUND(MIN(Inputs!$B$10,MAX(0,$E965+$H965-$F965)),2))</f>
        <v/>
      </c>
      <c r="H965" s="25" t="str">
        <f>IF($E965="","",ROUND(IF(Inputs!$B$12="Daily Simple Interest",$E965*Inputs!$B$6/Inputs!$B$17*$D965,$E965*Inputs!$B$6/Inputs!$B$20),2))</f>
        <v/>
      </c>
      <c r="I965" s="25" t="str">
        <f t="shared" si="138"/>
        <v/>
      </c>
      <c r="J965" s="25" t="str">
        <f>IF($E965="","",IF($F965+$G965&gt;0,Inputs!$B$11,0))</f>
        <v/>
      </c>
      <c r="K965" s="25" t="str">
        <f t="shared" si="139"/>
        <v/>
      </c>
      <c r="L965" s="25" t="str">
        <f t="shared" si="140"/>
        <v/>
      </c>
      <c r="M965" s="25" t="str">
        <f t="shared" si="141"/>
        <v/>
      </c>
      <c r="N965" s="84" t="str">
        <f t="shared" si="142"/>
        <v/>
      </c>
      <c r="O965" s="23" t="str">
        <f t="shared" si="143"/>
        <v/>
      </c>
    </row>
    <row r="966" spans="1:15" ht="20" customHeight="1">
      <c r="A966" s="22" t="str">
        <f t="shared" si="144"/>
        <v/>
      </c>
      <c r="B966" s="23" t="str">
        <f>IF($E966="","",280)</f>
        <v/>
      </c>
      <c r="C966" s="24" t="str">
        <f>IF($E966="","",Inputs!$B$9+(279*Inputs!$B$21))</f>
        <v/>
      </c>
      <c r="D966" s="23" t="str">
        <f t="shared" si="145"/>
        <v/>
      </c>
      <c r="E966" s="25" t="str">
        <f t="shared" si="146"/>
        <v/>
      </c>
      <c r="F966" s="25" t="str">
        <f>IF($E966="","",ROUND(MIN(Comparison!$D$5,MAX(0,$E966+$H966)),2))</f>
        <v/>
      </c>
      <c r="G966" s="25" t="str">
        <f>IF($E966="","",ROUND(MIN(Inputs!$B$10,MAX(0,$E966+$H966-$F966)),2))</f>
        <v/>
      </c>
      <c r="H966" s="25" t="str">
        <f>IF($E966="","",ROUND(IF(Inputs!$B$12="Daily Simple Interest",$E966*Inputs!$B$6/Inputs!$B$17*$D966,$E966*Inputs!$B$6/Inputs!$B$20),2))</f>
        <v/>
      </c>
      <c r="I966" s="25" t="str">
        <f t="shared" si="138"/>
        <v/>
      </c>
      <c r="J966" s="25" t="str">
        <f>IF($E966="","",IF($F966+$G966&gt;0,Inputs!$B$11,0))</f>
        <v/>
      </c>
      <c r="K966" s="25" t="str">
        <f t="shared" si="139"/>
        <v/>
      </c>
      <c r="L966" s="25" t="str">
        <f t="shared" si="140"/>
        <v/>
      </c>
      <c r="M966" s="25" t="str">
        <f t="shared" si="141"/>
        <v/>
      </c>
      <c r="N966" s="84" t="str">
        <f t="shared" si="142"/>
        <v/>
      </c>
      <c r="O966" s="23" t="str">
        <f t="shared" si="143"/>
        <v/>
      </c>
    </row>
    <row r="967" spans="1:15" ht="20" customHeight="1">
      <c r="A967" s="22" t="str">
        <f t="shared" si="144"/>
        <v/>
      </c>
      <c r="B967" s="23" t="str">
        <f>IF($E967="","",281)</f>
        <v/>
      </c>
      <c r="C967" s="24" t="str">
        <f>IF($E967="","",Inputs!$B$9+(280*Inputs!$B$21))</f>
        <v/>
      </c>
      <c r="D967" s="23" t="str">
        <f t="shared" si="145"/>
        <v/>
      </c>
      <c r="E967" s="25" t="str">
        <f t="shared" si="146"/>
        <v/>
      </c>
      <c r="F967" s="25" t="str">
        <f>IF($E967="","",ROUND(MIN(Comparison!$D$5,MAX(0,$E967+$H967)),2))</f>
        <v/>
      </c>
      <c r="G967" s="25" t="str">
        <f>IF($E967="","",ROUND(MIN(Inputs!$B$10,MAX(0,$E967+$H967-$F967)),2))</f>
        <v/>
      </c>
      <c r="H967" s="25" t="str">
        <f>IF($E967="","",ROUND(IF(Inputs!$B$12="Daily Simple Interest",$E967*Inputs!$B$6/Inputs!$B$17*$D967,$E967*Inputs!$B$6/Inputs!$B$20),2))</f>
        <v/>
      </c>
      <c r="I967" s="25" t="str">
        <f t="shared" ref="I967:I1026" si="147">IF($E967="","",ROUND($F967+$G967-$H967,2))</f>
        <v/>
      </c>
      <c r="J967" s="25" t="str">
        <f>IF($E967="","",IF($F967+$G967&gt;0,Inputs!$B$11,0))</f>
        <v/>
      </c>
      <c r="K967" s="25" t="str">
        <f t="shared" ref="K967:K1026" si="148">IF($E967="","",ROUND(MAX(0,$E967-$I967),2))</f>
        <v/>
      </c>
      <c r="L967" s="25" t="str">
        <f t="shared" ref="L967:L1026" si="149">IF($E967="","",$F967+$G967)</f>
        <v/>
      </c>
      <c r="M967" s="25" t="str">
        <f t="shared" ref="M967:M1026" si="150">IF($E967="","",0)</f>
        <v/>
      </c>
      <c r="N967" s="84" t="str">
        <f t="shared" ref="N967:N1026" si="151">IF($E967="","",IF($K967&lt;=0.005,"PAID OFF","ACTIVE"))</f>
        <v/>
      </c>
      <c r="O967" s="23" t="str">
        <f t="shared" ref="O967:O1030" si="152">IF($E967="","",IF($F967+$G967&gt;0,1,0))</f>
        <v/>
      </c>
    </row>
    <row r="968" spans="1:15" ht="20" customHeight="1">
      <c r="A968" s="22" t="str">
        <f t="shared" si="144"/>
        <v/>
      </c>
      <c r="B968" s="23" t="str">
        <f>IF($E968="","",282)</f>
        <v/>
      </c>
      <c r="C968" s="24" t="str">
        <f>IF($E968="","",Inputs!$B$9+(281*Inputs!$B$21))</f>
        <v/>
      </c>
      <c r="D968" s="23" t="str">
        <f t="shared" si="145"/>
        <v/>
      </c>
      <c r="E968" s="25" t="str">
        <f t="shared" si="146"/>
        <v/>
      </c>
      <c r="F968" s="25" t="str">
        <f>IF($E968="","",ROUND(MIN(Comparison!$D$5,MAX(0,$E968+$H968)),2))</f>
        <v/>
      </c>
      <c r="G968" s="25" t="str">
        <f>IF($E968="","",ROUND(MIN(Inputs!$B$10,MAX(0,$E968+$H968-$F968)),2))</f>
        <v/>
      </c>
      <c r="H968" s="25" t="str">
        <f>IF($E968="","",ROUND(IF(Inputs!$B$12="Daily Simple Interest",$E968*Inputs!$B$6/Inputs!$B$17*$D968,$E968*Inputs!$B$6/Inputs!$B$20),2))</f>
        <v/>
      </c>
      <c r="I968" s="25" t="str">
        <f t="shared" si="147"/>
        <v/>
      </c>
      <c r="J968" s="25" t="str">
        <f>IF($E968="","",IF($F968+$G968&gt;0,Inputs!$B$11,0))</f>
        <v/>
      </c>
      <c r="K968" s="25" t="str">
        <f t="shared" si="148"/>
        <v/>
      </c>
      <c r="L968" s="25" t="str">
        <f t="shared" si="149"/>
        <v/>
      </c>
      <c r="M968" s="25" t="str">
        <f t="shared" si="150"/>
        <v/>
      </c>
      <c r="N968" s="84" t="str">
        <f t="shared" si="151"/>
        <v/>
      </c>
      <c r="O968" s="23" t="str">
        <f t="shared" si="152"/>
        <v/>
      </c>
    </row>
    <row r="969" spans="1:15" ht="20" customHeight="1">
      <c r="A969" s="22" t="str">
        <f t="shared" si="144"/>
        <v/>
      </c>
      <c r="B969" s="23" t="str">
        <f>IF($E969="","",283)</f>
        <v/>
      </c>
      <c r="C969" s="24" t="str">
        <f>IF($E969="","",Inputs!$B$9+(282*Inputs!$B$21))</f>
        <v/>
      </c>
      <c r="D969" s="23" t="str">
        <f t="shared" si="145"/>
        <v/>
      </c>
      <c r="E969" s="25" t="str">
        <f t="shared" si="146"/>
        <v/>
      </c>
      <c r="F969" s="25" t="str">
        <f>IF($E969="","",ROUND(MIN(Comparison!$D$5,MAX(0,$E969+$H969)),2))</f>
        <v/>
      </c>
      <c r="G969" s="25" t="str">
        <f>IF($E969="","",ROUND(MIN(Inputs!$B$10,MAX(0,$E969+$H969-$F969)),2))</f>
        <v/>
      </c>
      <c r="H969" s="25" t="str">
        <f>IF($E969="","",ROUND(IF(Inputs!$B$12="Daily Simple Interest",$E969*Inputs!$B$6/Inputs!$B$17*$D969,$E969*Inputs!$B$6/Inputs!$B$20),2))</f>
        <v/>
      </c>
      <c r="I969" s="25" t="str">
        <f t="shared" si="147"/>
        <v/>
      </c>
      <c r="J969" s="25" t="str">
        <f>IF($E969="","",IF($F969+$G969&gt;0,Inputs!$B$11,0))</f>
        <v/>
      </c>
      <c r="K969" s="25" t="str">
        <f t="shared" si="148"/>
        <v/>
      </c>
      <c r="L969" s="25" t="str">
        <f t="shared" si="149"/>
        <v/>
      </c>
      <c r="M969" s="25" t="str">
        <f t="shared" si="150"/>
        <v/>
      </c>
      <c r="N969" s="84" t="str">
        <f t="shared" si="151"/>
        <v/>
      </c>
      <c r="O969" s="23" t="str">
        <f t="shared" si="152"/>
        <v/>
      </c>
    </row>
    <row r="970" spans="1:15" ht="20" customHeight="1">
      <c r="A970" s="22" t="str">
        <f t="shared" si="144"/>
        <v/>
      </c>
      <c r="B970" s="23" t="str">
        <f>IF($E970="","",284)</f>
        <v/>
      </c>
      <c r="C970" s="24" t="str">
        <f>IF($E970="","",Inputs!$B$9+(283*Inputs!$B$21))</f>
        <v/>
      </c>
      <c r="D970" s="23" t="str">
        <f t="shared" si="145"/>
        <v/>
      </c>
      <c r="E970" s="25" t="str">
        <f t="shared" si="146"/>
        <v/>
      </c>
      <c r="F970" s="25" t="str">
        <f>IF($E970="","",ROUND(MIN(Comparison!$D$5,MAX(0,$E970+$H970)),2))</f>
        <v/>
      </c>
      <c r="G970" s="25" t="str">
        <f>IF($E970="","",ROUND(MIN(Inputs!$B$10,MAX(0,$E970+$H970-$F970)),2))</f>
        <v/>
      </c>
      <c r="H970" s="25" t="str">
        <f>IF($E970="","",ROUND(IF(Inputs!$B$12="Daily Simple Interest",$E970*Inputs!$B$6/Inputs!$B$17*$D970,$E970*Inputs!$B$6/Inputs!$B$20),2))</f>
        <v/>
      </c>
      <c r="I970" s="25" t="str">
        <f t="shared" si="147"/>
        <v/>
      </c>
      <c r="J970" s="25" t="str">
        <f>IF($E970="","",IF($F970+$G970&gt;0,Inputs!$B$11,0))</f>
        <v/>
      </c>
      <c r="K970" s="25" t="str">
        <f t="shared" si="148"/>
        <v/>
      </c>
      <c r="L970" s="25" t="str">
        <f t="shared" si="149"/>
        <v/>
      </c>
      <c r="M970" s="25" t="str">
        <f t="shared" si="150"/>
        <v/>
      </c>
      <c r="N970" s="84" t="str">
        <f t="shared" si="151"/>
        <v/>
      </c>
      <c r="O970" s="23" t="str">
        <f t="shared" si="152"/>
        <v/>
      </c>
    </row>
    <row r="971" spans="1:15" ht="20" customHeight="1">
      <c r="A971" s="22" t="str">
        <f t="shared" si="144"/>
        <v/>
      </c>
      <c r="B971" s="23" t="str">
        <f>IF($E971="","",285)</f>
        <v/>
      </c>
      <c r="C971" s="24" t="str">
        <f>IF($E971="","",Inputs!$B$9+(284*Inputs!$B$21))</f>
        <v/>
      </c>
      <c r="D971" s="23" t="str">
        <f t="shared" si="145"/>
        <v/>
      </c>
      <c r="E971" s="25" t="str">
        <f t="shared" si="146"/>
        <v/>
      </c>
      <c r="F971" s="25" t="str">
        <f>IF($E971="","",ROUND(MIN(Comparison!$D$5,MAX(0,$E971+$H971)),2))</f>
        <v/>
      </c>
      <c r="G971" s="25" t="str">
        <f>IF($E971="","",ROUND(MIN(Inputs!$B$10,MAX(0,$E971+$H971-$F971)),2))</f>
        <v/>
      </c>
      <c r="H971" s="25" t="str">
        <f>IF($E971="","",ROUND(IF(Inputs!$B$12="Daily Simple Interest",$E971*Inputs!$B$6/Inputs!$B$17*$D971,$E971*Inputs!$B$6/Inputs!$B$20),2))</f>
        <v/>
      </c>
      <c r="I971" s="25" t="str">
        <f t="shared" si="147"/>
        <v/>
      </c>
      <c r="J971" s="25" t="str">
        <f>IF($E971="","",IF($F971+$G971&gt;0,Inputs!$B$11,0))</f>
        <v/>
      </c>
      <c r="K971" s="25" t="str">
        <f t="shared" si="148"/>
        <v/>
      </c>
      <c r="L971" s="25" t="str">
        <f t="shared" si="149"/>
        <v/>
      </c>
      <c r="M971" s="25" t="str">
        <f t="shared" si="150"/>
        <v/>
      </c>
      <c r="N971" s="84" t="str">
        <f t="shared" si="151"/>
        <v/>
      </c>
      <c r="O971" s="23" t="str">
        <f t="shared" si="152"/>
        <v/>
      </c>
    </row>
    <row r="972" spans="1:15" ht="20" customHeight="1">
      <c r="A972" s="22" t="str">
        <f t="shared" si="144"/>
        <v/>
      </c>
      <c r="B972" s="23" t="str">
        <f>IF($E972="","",286)</f>
        <v/>
      </c>
      <c r="C972" s="24" t="str">
        <f>IF($E972="","",Inputs!$B$9+(285*Inputs!$B$21))</f>
        <v/>
      </c>
      <c r="D972" s="23" t="str">
        <f t="shared" si="145"/>
        <v/>
      </c>
      <c r="E972" s="25" t="str">
        <f t="shared" si="146"/>
        <v/>
      </c>
      <c r="F972" s="25" t="str">
        <f>IF($E972="","",ROUND(MIN(Comparison!$D$5,MAX(0,$E972+$H972)),2))</f>
        <v/>
      </c>
      <c r="G972" s="25" t="str">
        <f>IF($E972="","",ROUND(MIN(Inputs!$B$10,MAX(0,$E972+$H972-$F972)),2))</f>
        <v/>
      </c>
      <c r="H972" s="25" t="str">
        <f>IF($E972="","",ROUND(IF(Inputs!$B$12="Daily Simple Interest",$E972*Inputs!$B$6/Inputs!$B$17*$D972,$E972*Inputs!$B$6/Inputs!$B$20),2))</f>
        <v/>
      </c>
      <c r="I972" s="25" t="str">
        <f t="shared" si="147"/>
        <v/>
      </c>
      <c r="J972" s="25" t="str">
        <f>IF($E972="","",IF($F972+$G972&gt;0,Inputs!$B$11,0))</f>
        <v/>
      </c>
      <c r="K972" s="25" t="str">
        <f t="shared" si="148"/>
        <v/>
      </c>
      <c r="L972" s="25" t="str">
        <f t="shared" si="149"/>
        <v/>
      </c>
      <c r="M972" s="25" t="str">
        <f t="shared" si="150"/>
        <v/>
      </c>
      <c r="N972" s="84" t="str">
        <f t="shared" si="151"/>
        <v/>
      </c>
      <c r="O972" s="23" t="str">
        <f t="shared" si="152"/>
        <v/>
      </c>
    </row>
    <row r="973" spans="1:15" ht="20" customHeight="1">
      <c r="A973" s="22" t="str">
        <f t="shared" si="144"/>
        <v/>
      </c>
      <c r="B973" s="23" t="str">
        <f>IF($E973="","",287)</f>
        <v/>
      </c>
      <c r="C973" s="24" t="str">
        <f>IF($E973="","",Inputs!$B$9+(286*Inputs!$B$21))</f>
        <v/>
      </c>
      <c r="D973" s="23" t="str">
        <f t="shared" si="145"/>
        <v/>
      </c>
      <c r="E973" s="25" t="str">
        <f t="shared" si="146"/>
        <v/>
      </c>
      <c r="F973" s="25" t="str">
        <f>IF($E973="","",ROUND(MIN(Comparison!$D$5,MAX(0,$E973+$H973)),2))</f>
        <v/>
      </c>
      <c r="G973" s="25" t="str">
        <f>IF($E973="","",ROUND(MIN(Inputs!$B$10,MAX(0,$E973+$H973-$F973)),2))</f>
        <v/>
      </c>
      <c r="H973" s="25" t="str">
        <f>IF($E973="","",ROUND(IF(Inputs!$B$12="Daily Simple Interest",$E973*Inputs!$B$6/Inputs!$B$17*$D973,$E973*Inputs!$B$6/Inputs!$B$20),2))</f>
        <v/>
      </c>
      <c r="I973" s="25" t="str">
        <f t="shared" si="147"/>
        <v/>
      </c>
      <c r="J973" s="25" t="str">
        <f>IF($E973="","",IF($F973+$G973&gt;0,Inputs!$B$11,0))</f>
        <v/>
      </c>
      <c r="K973" s="25" t="str">
        <f t="shared" si="148"/>
        <v/>
      </c>
      <c r="L973" s="25" t="str">
        <f t="shared" si="149"/>
        <v/>
      </c>
      <c r="M973" s="25" t="str">
        <f t="shared" si="150"/>
        <v/>
      </c>
      <c r="N973" s="84" t="str">
        <f t="shared" si="151"/>
        <v/>
      </c>
      <c r="O973" s="23" t="str">
        <f t="shared" si="152"/>
        <v/>
      </c>
    </row>
    <row r="974" spans="1:15" ht="20" customHeight="1">
      <c r="A974" s="22" t="str">
        <f t="shared" si="144"/>
        <v/>
      </c>
      <c r="B974" s="23" t="str">
        <f>IF($E974="","",288)</f>
        <v/>
      </c>
      <c r="C974" s="24" t="str">
        <f>IF($E974="","",Inputs!$B$9+(287*Inputs!$B$21))</f>
        <v/>
      </c>
      <c r="D974" s="23" t="str">
        <f t="shared" si="145"/>
        <v/>
      </c>
      <c r="E974" s="25" t="str">
        <f t="shared" si="146"/>
        <v/>
      </c>
      <c r="F974" s="25" t="str">
        <f>IF($E974="","",ROUND(MIN(Comparison!$D$5,MAX(0,$E974+$H974)),2))</f>
        <v/>
      </c>
      <c r="G974" s="25" t="str">
        <f>IF($E974="","",ROUND(MIN(Inputs!$B$10,MAX(0,$E974+$H974-$F974)),2))</f>
        <v/>
      </c>
      <c r="H974" s="25" t="str">
        <f>IF($E974="","",ROUND(IF(Inputs!$B$12="Daily Simple Interest",$E974*Inputs!$B$6/Inputs!$B$17*$D974,$E974*Inputs!$B$6/Inputs!$B$20),2))</f>
        <v/>
      </c>
      <c r="I974" s="25" t="str">
        <f t="shared" si="147"/>
        <v/>
      </c>
      <c r="J974" s="25" t="str">
        <f>IF($E974="","",IF($F974+$G974&gt;0,Inputs!$B$11,0))</f>
        <v/>
      </c>
      <c r="K974" s="25" t="str">
        <f t="shared" si="148"/>
        <v/>
      </c>
      <c r="L974" s="25" t="str">
        <f t="shared" si="149"/>
        <v/>
      </c>
      <c r="M974" s="25" t="str">
        <f t="shared" si="150"/>
        <v/>
      </c>
      <c r="N974" s="84" t="str">
        <f t="shared" si="151"/>
        <v/>
      </c>
      <c r="O974" s="23" t="str">
        <f t="shared" si="152"/>
        <v/>
      </c>
    </row>
    <row r="975" spans="1:15" ht="20" customHeight="1">
      <c r="A975" s="22" t="str">
        <f t="shared" si="144"/>
        <v/>
      </c>
      <c r="B975" s="23" t="str">
        <f>IF($E975="","",289)</f>
        <v/>
      </c>
      <c r="C975" s="24" t="str">
        <f>IF($E975="","",Inputs!$B$9+(288*Inputs!$B$21))</f>
        <v/>
      </c>
      <c r="D975" s="23" t="str">
        <f t="shared" si="145"/>
        <v/>
      </c>
      <c r="E975" s="25" t="str">
        <f t="shared" si="146"/>
        <v/>
      </c>
      <c r="F975" s="25" t="str">
        <f>IF($E975="","",ROUND(MIN(Comparison!$D$5,MAX(0,$E975+$H975)),2))</f>
        <v/>
      </c>
      <c r="G975" s="25" t="str">
        <f>IF($E975="","",ROUND(MIN(Inputs!$B$10,MAX(0,$E975+$H975-$F975)),2))</f>
        <v/>
      </c>
      <c r="H975" s="25" t="str">
        <f>IF($E975="","",ROUND(IF(Inputs!$B$12="Daily Simple Interest",$E975*Inputs!$B$6/Inputs!$B$17*$D975,$E975*Inputs!$B$6/Inputs!$B$20),2))</f>
        <v/>
      </c>
      <c r="I975" s="25" t="str">
        <f t="shared" si="147"/>
        <v/>
      </c>
      <c r="J975" s="25" t="str">
        <f>IF($E975="","",IF($F975+$G975&gt;0,Inputs!$B$11,0))</f>
        <v/>
      </c>
      <c r="K975" s="25" t="str">
        <f t="shared" si="148"/>
        <v/>
      </c>
      <c r="L975" s="25" t="str">
        <f t="shared" si="149"/>
        <v/>
      </c>
      <c r="M975" s="25" t="str">
        <f t="shared" si="150"/>
        <v/>
      </c>
      <c r="N975" s="84" t="str">
        <f t="shared" si="151"/>
        <v/>
      </c>
      <c r="O975" s="23" t="str">
        <f t="shared" si="152"/>
        <v/>
      </c>
    </row>
    <row r="976" spans="1:15" ht="20" customHeight="1">
      <c r="A976" s="22" t="str">
        <f t="shared" si="144"/>
        <v/>
      </c>
      <c r="B976" s="23" t="str">
        <f>IF($E976="","",290)</f>
        <v/>
      </c>
      <c r="C976" s="24" t="str">
        <f>IF($E976="","",Inputs!$B$9+(289*Inputs!$B$21))</f>
        <v/>
      </c>
      <c r="D976" s="23" t="str">
        <f t="shared" si="145"/>
        <v/>
      </c>
      <c r="E976" s="25" t="str">
        <f t="shared" si="146"/>
        <v/>
      </c>
      <c r="F976" s="25" t="str">
        <f>IF($E976="","",ROUND(MIN(Comparison!$D$5,MAX(0,$E976+$H976)),2))</f>
        <v/>
      </c>
      <c r="G976" s="25" t="str">
        <f>IF($E976="","",ROUND(MIN(Inputs!$B$10,MAX(0,$E976+$H976-$F976)),2))</f>
        <v/>
      </c>
      <c r="H976" s="25" t="str">
        <f>IF($E976="","",ROUND(IF(Inputs!$B$12="Daily Simple Interest",$E976*Inputs!$B$6/Inputs!$B$17*$D976,$E976*Inputs!$B$6/Inputs!$B$20),2))</f>
        <v/>
      </c>
      <c r="I976" s="25" t="str">
        <f t="shared" si="147"/>
        <v/>
      </c>
      <c r="J976" s="25" t="str">
        <f>IF($E976="","",IF($F976+$G976&gt;0,Inputs!$B$11,0))</f>
        <v/>
      </c>
      <c r="K976" s="25" t="str">
        <f t="shared" si="148"/>
        <v/>
      </c>
      <c r="L976" s="25" t="str">
        <f t="shared" si="149"/>
        <v/>
      </c>
      <c r="M976" s="25" t="str">
        <f t="shared" si="150"/>
        <v/>
      </c>
      <c r="N976" s="84" t="str">
        <f t="shared" si="151"/>
        <v/>
      </c>
      <c r="O976" s="23" t="str">
        <f t="shared" si="152"/>
        <v/>
      </c>
    </row>
    <row r="977" spans="1:15" ht="20" customHeight="1">
      <c r="A977" s="22" t="str">
        <f t="shared" si="144"/>
        <v/>
      </c>
      <c r="B977" s="23" t="str">
        <f>IF($E977="","",291)</f>
        <v/>
      </c>
      <c r="C977" s="24" t="str">
        <f>IF($E977="","",Inputs!$B$9+(290*Inputs!$B$21))</f>
        <v/>
      </c>
      <c r="D977" s="23" t="str">
        <f t="shared" si="145"/>
        <v/>
      </c>
      <c r="E977" s="25" t="str">
        <f t="shared" si="146"/>
        <v/>
      </c>
      <c r="F977" s="25" t="str">
        <f>IF($E977="","",ROUND(MIN(Comparison!$D$5,MAX(0,$E977+$H977)),2))</f>
        <v/>
      </c>
      <c r="G977" s="25" t="str">
        <f>IF($E977="","",ROUND(MIN(Inputs!$B$10,MAX(0,$E977+$H977-$F977)),2))</f>
        <v/>
      </c>
      <c r="H977" s="25" t="str">
        <f>IF($E977="","",ROUND(IF(Inputs!$B$12="Daily Simple Interest",$E977*Inputs!$B$6/Inputs!$B$17*$D977,$E977*Inputs!$B$6/Inputs!$B$20),2))</f>
        <v/>
      </c>
      <c r="I977" s="25" t="str">
        <f t="shared" si="147"/>
        <v/>
      </c>
      <c r="J977" s="25" t="str">
        <f>IF($E977="","",IF($F977+$G977&gt;0,Inputs!$B$11,0))</f>
        <v/>
      </c>
      <c r="K977" s="25" t="str">
        <f t="shared" si="148"/>
        <v/>
      </c>
      <c r="L977" s="25" t="str">
        <f t="shared" si="149"/>
        <v/>
      </c>
      <c r="M977" s="25" t="str">
        <f t="shared" si="150"/>
        <v/>
      </c>
      <c r="N977" s="84" t="str">
        <f t="shared" si="151"/>
        <v/>
      </c>
      <c r="O977" s="23" t="str">
        <f t="shared" si="152"/>
        <v/>
      </c>
    </row>
    <row r="978" spans="1:15" ht="20" customHeight="1">
      <c r="A978" s="22" t="str">
        <f t="shared" si="144"/>
        <v/>
      </c>
      <c r="B978" s="23" t="str">
        <f>IF($E978="","",292)</f>
        <v/>
      </c>
      <c r="C978" s="24" t="str">
        <f>IF($E978="","",Inputs!$B$9+(291*Inputs!$B$21))</f>
        <v/>
      </c>
      <c r="D978" s="23" t="str">
        <f t="shared" si="145"/>
        <v/>
      </c>
      <c r="E978" s="25" t="str">
        <f t="shared" si="146"/>
        <v/>
      </c>
      <c r="F978" s="25" t="str">
        <f>IF($E978="","",ROUND(MIN(Comparison!$D$5,MAX(0,$E978+$H978)),2))</f>
        <v/>
      </c>
      <c r="G978" s="25" t="str">
        <f>IF($E978="","",ROUND(MIN(Inputs!$B$10,MAX(0,$E978+$H978-$F978)),2))</f>
        <v/>
      </c>
      <c r="H978" s="25" t="str">
        <f>IF($E978="","",ROUND(IF(Inputs!$B$12="Daily Simple Interest",$E978*Inputs!$B$6/Inputs!$B$17*$D978,$E978*Inputs!$B$6/Inputs!$B$20),2))</f>
        <v/>
      </c>
      <c r="I978" s="25" t="str">
        <f t="shared" si="147"/>
        <v/>
      </c>
      <c r="J978" s="25" t="str">
        <f>IF($E978="","",IF($F978+$G978&gt;0,Inputs!$B$11,0))</f>
        <v/>
      </c>
      <c r="K978" s="25" t="str">
        <f t="shared" si="148"/>
        <v/>
      </c>
      <c r="L978" s="25" t="str">
        <f t="shared" si="149"/>
        <v/>
      </c>
      <c r="M978" s="25" t="str">
        <f t="shared" si="150"/>
        <v/>
      </c>
      <c r="N978" s="84" t="str">
        <f t="shared" si="151"/>
        <v/>
      </c>
      <c r="O978" s="23" t="str">
        <f t="shared" si="152"/>
        <v/>
      </c>
    </row>
    <row r="979" spans="1:15" ht="20" customHeight="1">
      <c r="A979" s="22" t="str">
        <f t="shared" si="144"/>
        <v/>
      </c>
      <c r="B979" s="23" t="str">
        <f>IF($E979="","",293)</f>
        <v/>
      </c>
      <c r="C979" s="24" t="str">
        <f>IF($E979="","",Inputs!$B$9+(292*Inputs!$B$21))</f>
        <v/>
      </c>
      <c r="D979" s="23" t="str">
        <f t="shared" si="145"/>
        <v/>
      </c>
      <c r="E979" s="25" t="str">
        <f t="shared" si="146"/>
        <v/>
      </c>
      <c r="F979" s="25" t="str">
        <f>IF($E979="","",ROUND(MIN(Comparison!$D$5,MAX(0,$E979+$H979)),2))</f>
        <v/>
      </c>
      <c r="G979" s="25" t="str">
        <f>IF($E979="","",ROUND(MIN(Inputs!$B$10,MAX(0,$E979+$H979-$F979)),2))</f>
        <v/>
      </c>
      <c r="H979" s="25" t="str">
        <f>IF($E979="","",ROUND(IF(Inputs!$B$12="Daily Simple Interest",$E979*Inputs!$B$6/Inputs!$B$17*$D979,$E979*Inputs!$B$6/Inputs!$B$20),2))</f>
        <v/>
      </c>
      <c r="I979" s="25" t="str">
        <f t="shared" si="147"/>
        <v/>
      </c>
      <c r="J979" s="25" t="str">
        <f>IF($E979="","",IF($F979+$G979&gt;0,Inputs!$B$11,0))</f>
        <v/>
      </c>
      <c r="K979" s="25" t="str">
        <f t="shared" si="148"/>
        <v/>
      </c>
      <c r="L979" s="25" t="str">
        <f t="shared" si="149"/>
        <v/>
      </c>
      <c r="M979" s="25" t="str">
        <f t="shared" si="150"/>
        <v/>
      </c>
      <c r="N979" s="84" t="str">
        <f t="shared" si="151"/>
        <v/>
      </c>
      <c r="O979" s="23" t="str">
        <f t="shared" si="152"/>
        <v/>
      </c>
    </row>
    <row r="980" spans="1:15" ht="20" customHeight="1">
      <c r="A980" s="22" t="str">
        <f t="shared" si="144"/>
        <v/>
      </c>
      <c r="B980" s="23" t="str">
        <f>IF($E980="","",294)</f>
        <v/>
      </c>
      <c r="C980" s="24" t="str">
        <f>IF($E980="","",Inputs!$B$9+(293*Inputs!$B$21))</f>
        <v/>
      </c>
      <c r="D980" s="23" t="str">
        <f t="shared" si="145"/>
        <v/>
      </c>
      <c r="E980" s="25" t="str">
        <f t="shared" si="146"/>
        <v/>
      </c>
      <c r="F980" s="25" t="str">
        <f>IF($E980="","",ROUND(MIN(Comparison!$D$5,MAX(0,$E980+$H980)),2))</f>
        <v/>
      </c>
      <c r="G980" s="25" t="str">
        <f>IF($E980="","",ROUND(MIN(Inputs!$B$10,MAX(0,$E980+$H980-$F980)),2))</f>
        <v/>
      </c>
      <c r="H980" s="25" t="str">
        <f>IF($E980="","",ROUND(IF(Inputs!$B$12="Daily Simple Interest",$E980*Inputs!$B$6/Inputs!$B$17*$D980,$E980*Inputs!$B$6/Inputs!$B$20),2))</f>
        <v/>
      </c>
      <c r="I980" s="25" t="str">
        <f t="shared" si="147"/>
        <v/>
      </c>
      <c r="J980" s="25" t="str">
        <f>IF($E980="","",IF($F980+$G980&gt;0,Inputs!$B$11,0))</f>
        <v/>
      </c>
      <c r="K980" s="25" t="str">
        <f t="shared" si="148"/>
        <v/>
      </c>
      <c r="L980" s="25" t="str">
        <f t="shared" si="149"/>
        <v/>
      </c>
      <c r="M980" s="25" t="str">
        <f t="shared" si="150"/>
        <v/>
      </c>
      <c r="N980" s="84" t="str">
        <f t="shared" si="151"/>
        <v/>
      </c>
      <c r="O980" s="23" t="str">
        <f t="shared" si="152"/>
        <v/>
      </c>
    </row>
    <row r="981" spans="1:15" ht="20" customHeight="1">
      <c r="A981" s="22" t="str">
        <f t="shared" si="144"/>
        <v/>
      </c>
      <c r="B981" s="23" t="str">
        <f>IF($E981="","",295)</f>
        <v/>
      </c>
      <c r="C981" s="24" t="str">
        <f>IF($E981="","",Inputs!$B$9+(294*Inputs!$B$21))</f>
        <v/>
      </c>
      <c r="D981" s="23" t="str">
        <f t="shared" si="145"/>
        <v/>
      </c>
      <c r="E981" s="25" t="str">
        <f t="shared" si="146"/>
        <v/>
      </c>
      <c r="F981" s="25" t="str">
        <f>IF($E981="","",ROUND(MIN(Comparison!$D$5,MAX(0,$E981+$H981)),2))</f>
        <v/>
      </c>
      <c r="G981" s="25" t="str">
        <f>IF($E981="","",ROUND(MIN(Inputs!$B$10,MAX(0,$E981+$H981-$F981)),2))</f>
        <v/>
      </c>
      <c r="H981" s="25" t="str">
        <f>IF($E981="","",ROUND(IF(Inputs!$B$12="Daily Simple Interest",$E981*Inputs!$B$6/Inputs!$B$17*$D981,$E981*Inputs!$B$6/Inputs!$B$20),2))</f>
        <v/>
      </c>
      <c r="I981" s="25" t="str">
        <f t="shared" si="147"/>
        <v/>
      </c>
      <c r="J981" s="25" t="str">
        <f>IF($E981="","",IF($F981+$G981&gt;0,Inputs!$B$11,0))</f>
        <v/>
      </c>
      <c r="K981" s="25" t="str">
        <f t="shared" si="148"/>
        <v/>
      </c>
      <c r="L981" s="25" t="str">
        <f t="shared" si="149"/>
        <v/>
      </c>
      <c r="M981" s="25" t="str">
        <f t="shared" si="150"/>
        <v/>
      </c>
      <c r="N981" s="84" t="str">
        <f t="shared" si="151"/>
        <v/>
      </c>
      <c r="O981" s="23" t="str">
        <f t="shared" si="152"/>
        <v/>
      </c>
    </row>
    <row r="982" spans="1:15" ht="20" customHeight="1">
      <c r="A982" s="22" t="str">
        <f t="shared" si="144"/>
        <v/>
      </c>
      <c r="B982" s="23" t="str">
        <f>IF($E982="","",296)</f>
        <v/>
      </c>
      <c r="C982" s="24" t="str">
        <f>IF($E982="","",Inputs!$B$9+(295*Inputs!$B$21))</f>
        <v/>
      </c>
      <c r="D982" s="23" t="str">
        <f t="shared" si="145"/>
        <v/>
      </c>
      <c r="E982" s="25" t="str">
        <f t="shared" si="146"/>
        <v/>
      </c>
      <c r="F982" s="25" t="str">
        <f>IF($E982="","",ROUND(MIN(Comparison!$D$5,MAX(0,$E982+$H982)),2))</f>
        <v/>
      </c>
      <c r="G982" s="25" t="str">
        <f>IF($E982="","",ROUND(MIN(Inputs!$B$10,MAX(0,$E982+$H982-$F982)),2))</f>
        <v/>
      </c>
      <c r="H982" s="25" t="str">
        <f>IF($E982="","",ROUND(IF(Inputs!$B$12="Daily Simple Interest",$E982*Inputs!$B$6/Inputs!$B$17*$D982,$E982*Inputs!$B$6/Inputs!$B$20),2))</f>
        <v/>
      </c>
      <c r="I982" s="25" t="str">
        <f t="shared" si="147"/>
        <v/>
      </c>
      <c r="J982" s="25" t="str">
        <f>IF($E982="","",IF($F982+$G982&gt;0,Inputs!$B$11,0))</f>
        <v/>
      </c>
      <c r="K982" s="25" t="str">
        <f t="shared" si="148"/>
        <v/>
      </c>
      <c r="L982" s="25" t="str">
        <f t="shared" si="149"/>
        <v/>
      </c>
      <c r="M982" s="25" t="str">
        <f t="shared" si="150"/>
        <v/>
      </c>
      <c r="N982" s="84" t="str">
        <f t="shared" si="151"/>
        <v/>
      </c>
      <c r="O982" s="23" t="str">
        <f t="shared" si="152"/>
        <v/>
      </c>
    </row>
    <row r="983" spans="1:15" ht="20" customHeight="1">
      <c r="A983" s="22" t="str">
        <f t="shared" si="144"/>
        <v/>
      </c>
      <c r="B983" s="23" t="str">
        <f>IF($E983="","",297)</f>
        <v/>
      </c>
      <c r="C983" s="24" t="str">
        <f>IF($E983="","",Inputs!$B$9+(296*Inputs!$B$21))</f>
        <v/>
      </c>
      <c r="D983" s="23" t="str">
        <f t="shared" si="145"/>
        <v/>
      </c>
      <c r="E983" s="25" t="str">
        <f t="shared" si="146"/>
        <v/>
      </c>
      <c r="F983" s="25" t="str">
        <f>IF($E983="","",ROUND(MIN(Comparison!$D$5,MAX(0,$E983+$H983)),2))</f>
        <v/>
      </c>
      <c r="G983" s="25" t="str">
        <f>IF($E983="","",ROUND(MIN(Inputs!$B$10,MAX(0,$E983+$H983-$F983)),2))</f>
        <v/>
      </c>
      <c r="H983" s="25" t="str">
        <f>IF($E983="","",ROUND(IF(Inputs!$B$12="Daily Simple Interest",$E983*Inputs!$B$6/Inputs!$B$17*$D983,$E983*Inputs!$B$6/Inputs!$B$20),2))</f>
        <v/>
      </c>
      <c r="I983" s="25" t="str">
        <f t="shared" si="147"/>
        <v/>
      </c>
      <c r="J983" s="25" t="str">
        <f>IF($E983="","",IF($F983+$G983&gt;0,Inputs!$B$11,0))</f>
        <v/>
      </c>
      <c r="K983" s="25" t="str">
        <f t="shared" si="148"/>
        <v/>
      </c>
      <c r="L983" s="25" t="str">
        <f t="shared" si="149"/>
        <v/>
      </c>
      <c r="M983" s="25" t="str">
        <f t="shared" si="150"/>
        <v/>
      </c>
      <c r="N983" s="84" t="str">
        <f t="shared" si="151"/>
        <v/>
      </c>
      <c r="O983" s="23" t="str">
        <f t="shared" si="152"/>
        <v/>
      </c>
    </row>
    <row r="984" spans="1:15" ht="20" customHeight="1">
      <c r="A984" s="22" t="str">
        <f t="shared" si="144"/>
        <v/>
      </c>
      <c r="B984" s="23" t="str">
        <f>IF($E984="","",298)</f>
        <v/>
      </c>
      <c r="C984" s="24" t="str">
        <f>IF($E984="","",Inputs!$B$9+(297*Inputs!$B$21))</f>
        <v/>
      </c>
      <c r="D984" s="23" t="str">
        <f t="shared" si="145"/>
        <v/>
      </c>
      <c r="E984" s="25" t="str">
        <f t="shared" si="146"/>
        <v/>
      </c>
      <c r="F984" s="25" t="str">
        <f>IF($E984="","",ROUND(MIN(Comparison!$D$5,MAX(0,$E984+$H984)),2))</f>
        <v/>
      </c>
      <c r="G984" s="25" t="str">
        <f>IF($E984="","",ROUND(MIN(Inputs!$B$10,MAX(0,$E984+$H984-$F984)),2))</f>
        <v/>
      </c>
      <c r="H984" s="25" t="str">
        <f>IF($E984="","",ROUND(IF(Inputs!$B$12="Daily Simple Interest",$E984*Inputs!$B$6/Inputs!$B$17*$D984,$E984*Inputs!$B$6/Inputs!$B$20),2))</f>
        <v/>
      </c>
      <c r="I984" s="25" t="str">
        <f t="shared" si="147"/>
        <v/>
      </c>
      <c r="J984" s="25" t="str">
        <f>IF($E984="","",IF($F984+$G984&gt;0,Inputs!$B$11,0))</f>
        <v/>
      </c>
      <c r="K984" s="25" t="str">
        <f t="shared" si="148"/>
        <v/>
      </c>
      <c r="L984" s="25" t="str">
        <f t="shared" si="149"/>
        <v/>
      </c>
      <c r="M984" s="25" t="str">
        <f t="shared" si="150"/>
        <v/>
      </c>
      <c r="N984" s="84" t="str">
        <f t="shared" si="151"/>
        <v/>
      </c>
      <c r="O984" s="23" t="str">
        <f t="shared" si="152"/>
        <v/>
      </c>
    </row>
    <row r="985" spans="1:15" ht="20" customHeight="1">
      <c r="A985" s="22" t="str">
        <f t="shared" si="144"/>
        <v/>
      </c>
      <c r="B985" s="23" t="str">
        <f>IF($E985="","",299)</f>
        <v/>
      </c>
      <c r="C985" s="24" t="str">
        <f>IF($E985="","",Inputs!$B$9+(298*Inputs!$B$21))</f>
        <v/>
      </c>
      <c r="D985" s="23" t="str">
        <f t="shared" si="145"/>
        <v/>
      </c>
      <c r="E985" s="25" t="str">
        <f t="shared" si="146"/>
        <v/>
      </c>
      <c r="F985" s="25" t="str">
        <f>IF($E985="","",ROUND(MIN(Comparison!$D$5,MAX(0,$E985+$H985)),2))</f>
        <v/>
      </c>
      <c r="G985" s="25" t="str">
        <f>IF($E985="","",ROUND(MIN(Inputs!$B$10,MAX(0,$E985+$H985-$F985)),2))</f>
        <v/>
      </c>
      <c r="H985" s="25" t="str">
        <f>IF($E985="","",ROUND(IF(Inputs!$B$12="Daily Simple Interest",$E985*Inputs!$B$6/Inputs!$B$17*$D985,$E985*Inputs!$B$6/Inputs!$B$20),2))</f>
        <v/>
      </c>
      <c r="I985" s="25" t="str">
        <f t="shared" si="147"/>
        <v/>
      </c>
      <c r="J985" s="25" t="str">
        <f>IF($E985="","",IF($F985+$G985&gt;0,Inputs!$B$11,0))</f>
        <v/>
      </c>
      <c r="K985" s="25" t="str">
        <f t="shared" si="148"/>
        <v/>
      </c>
      <c r="L985" s="25" t="str">
        <f t="shared" si="149"/>
        <v/>
      </c>
      <c r="M985" s="25" t="str">
        <f t="shared" si="150"/>
        <v/>
      </c>
      <c r="N985" s="84" t="str">
        <f t="shared" si="151"/>
        <v/>
      </c>
      <c r="O985" s="23" t="str">
        <f t="shared" si="152"/>
        <v/>
      </c>
    </row>
    <row r="986" spans="1:15" ht="20" customHeight="1">
      <c r="A986" s="22" t="str">
        <f t="shared" si="144"/>
        <v/>
      </c>
      <c r="B986" s="23" t="str">
        <f>IF($E986="","",300)</f>
        <v/>
      </c>
      <c r="C986" s="24" t="str">
        <f>IF($E986="","",Inputs!$B$9+(299*Inputs!$B$21))</f>
        <v/>
      </c>
      <c r="D986" s="23" t="str">
        <f t="shared" si="145"/>
        <v/>
      </c>
      <c r="E986" s="25" t="str">
        <f t="shared" si="146"/>
        <v/>
      </c>
      <c r="F986" s="25" t="str">
        <f>IF($E986="","",ROUND(MIN(Comparison!$D$5,MAX(0,$E986+$H986)),2))</f>
        <v/>
      </c>
      <c r="G986" s="25" t="str">
        <f>IF($E986="","",ROUND(MIN(Inputs!$B$10,MAX(0,$E986+$H986-$F986)),2))</f>
        <v/>
      </c>
      <c r="H986" s="25" t="str">
        <f>IF($E986="","",ROUND(IF(Inputs!$B$12="Daily Simple Interest",$E986*Inputs!$B$6/Inputs!$B$17*$D986,$E986*Inputs!$B$6/Inputs!$B$20),2))</f>
        <v/>
      </c>
      <c r="I986" s="25" t="str">
        <f t="shared" si="147"/>
        <v/>
      </c>
      <c r="J986" s="25" t="str">
        <f>IF($E986="","",IF($F986+$G986&gt;0,Inputs!$B$11,0))</f>
        <v/>
      </c>
      <c r="K986" s="25" t="str">
        <f t="shared" si="148"/>
        <v/>
      </c>
      <c r="L986" s="25" t="str">
        <f t="shared" si="149"/>
        <v/>
      </c>
      <c r="M986" s="25" t="str">
        <f t="shared" si="150"/>
        <v/>
      </c>
      <c r="N986" s="84" t="str">
        <f t="shared" si="151"/>
        <v/>
      </c>
      <c r="O986" s="23" t="str">
        <f t="shared" si="152"/>
        <v/>
      </c>
    </row>
    <row r="987" spans="1:15" ht="20" customHeight="1">
      <c r="A987" s="22" t="str">
        <f t="shared" si="144"/>
        <v/>
      </c>
      <c r="B987" s="23" t="str">
        <f>IF($E987="","",301)</f>
        <v/>
      </c>
      <c r="C987" s="24" t="str">
        <f>IF($E987="","",Inputs!$B$9+(300*Inputs!$B$21))</f>
        <v/>
      </c>
      <c r="D987" s="23" t="str">
        <f t="shared" si="145"/>
        <v/>
      </c>
      <c r="E987" s="25" t="str">
        <f t="shared" si="146"/>
        <v/>
      </c>
      <c r="F987" s="25" t="str">
        <f>IF($E987="","",ROUND(MIN(Comparison!$D$5,MAX(0,$E987+$H987)),2))</f>
        <v/>
      </c>
      <c r="G987" s="25" t="str">
        <f>IF($E987="","",ROUND(MIN(Inputs!$B$10,MAX(0,$E987+$H987-$F987)),2))</f>
        <v/>
      </c>
      <c r="H987" s="25" t="str">
        <f>IF($E987="","",ROUND(IF(Inputs!$B$12="Daily Simple Interest",$E987*Inputs!$B$6/Inputs!$B$17*$D987,$E987*Inputs!$B$6/Inputs!$B$20),2))</f>
        <v/>
      </c>
      <c r="I987" s="25" t="str">
        <f t="shared" si="147"/>
        <v/>
      </c>
      <c r="J987" s="25" t="str">
        <f>IF($E987="","",IF($F987+$G987&gt;0,Inputs!$B$11,0))</f>
        <v/>
      </c>
      <c r="K987" s="25" t="str">
        <f t="shared" si="148"/>
        <v/>
      </c>
      <c r="L987" s="25" t="str">
        <f t="shared" si="149"/>
        <v/>
      </c>
      <c r="M987" s="25" t="str">
        <f t="shared" si="150"/>
        <v/>
      </c>
      <c r="N987" s="84" t="str">
        <f t="shared" si="151"/>
        <v/>
      </c>
      <c r="O987" s="23" t="str">
        <f t="shared" si="152"/>
        <v/>
      </c>
    </row>
    <row r="988" spans="1:15" ht="20" customHeight="1">
      <c r="A988" s="22" t="str">
        <f t="shared" si="144"/>
        <v/>
      </c>
      <c r="B988" s="23" t="str">
        <f>IF($E988="","",302)</f>
        <v/>
      </c>
      <c r="C988" s="24" t="str">
        <f>IF($E988="","",Inputs!$B$9+(301*Inputs!$B$21))</f>
        <v/>
      </c>
      <c r="D988" s="23" t="str">
        <f t="shared" si="145"/>
        <v/>
      </c>
      <c r="E988" s="25" t="str">
        <f t="shared" si="146"/>
        <v/>
      </c>
      <c r="F988" s="25" t="str">
        <f>IF($E988="","",ROUND(MIN(Comparison!$D$5,MAX(0,$E988+$H988)),2))</f>
        <v/>
      </c>
      <c r="G988" s="25" t="str">
        <f>IF($E988="","",ROUND(MIN(Inputs!$B$10,MAX(0,$E988+$H988-$F988)),2))</f>
        <v/>
      </c>
      <c r="H988" s="25" t="str">
        <f>IF($E988="","",ROUND(IF(Inputs!$B$12="Daily Simple Interest",$E988*Inputs!$B$6/Inputs!$B$17*$D988,$E988*Inputs!$B$6/Inputs!$B$20),2))</f>
        <v/>
      </c>
      <c r="I988" s="25" t="str">
        <f t="shared" si="147"/>
        <v/>
      </c>
      <c r="J988" s="25" t="str">
        <f>IF($E988="","",IF($F988+$G988&gt;0,Inputs!$B$11,0))</f>
        <v/>
      </c>
      <c r="K988" s="25" t="str">
        <f t="shared" si="148"/>
        <v/>
      </c>
      <c r="L988" s="25" t="str">
        <f t="shared" si="149"/>
        <v/>
      </c>
      <c r="M988" s="25" t="str">
        <f t="shared" si="150"/>
        <v/>
      </c>
      <c r="N988" s="84" t="str">
        <f t="shared" si="151"/>
        <v/>
      </c>
      <c r="O988" s="23" t="str">
        <f t="shared" si="152"/>
        <v/>
      </c>
    </row>
    <row r="989" spans="1:15" ht="20" customHeight="1">
      <c r="A989" s="22" t="str">
        <f t="shared" si="144"/>
        <v/>
      </c>
      <c r="B989" s="23" t="str">
        <f>IF($E989="","",303)</f>
        <v/>
      </c>
      <c r="C989" s="24" t="str">
        <f>IF($E989="","",Inputs!$B$9+(302*Inputs!$B$21))</f>
        <v/>
      </c>
      <c r="D989" s="23" t="str">
        <f t="shared" si="145"/>
        <v/>
      </c>
      <c r="E989" s="25" t="str">
        <f t="shared" si="146"/>
        <v/>
      </c>
      <c r="F989" s="25" t="str">
        <f>IF($E989="","",ROUND(MIN(Comparison!$D$5,MAX(0,$E989+$H989)),2))</f>
        <v/>
      </c>
      <c r="G989" s="25" t="str">
        <f>IF($E989="","",ROUND(MIN(Inputs!$B$10,MAX(0,$E989+$H989-$F989)),2))</f>
        <v/>
      </c>
      <c r="H989" s="25" t="str">
        <f>IF($E989="","",ROUND(IF(Inputs!$B$12="Daily Simple Interest",$E989*Inputs!$B$6/Inputs!$B$17*$D989,$E989*Inputs!$B$6/Inputs!$B$20),2))</f>
        <v/>
      </c>
      <c r="I989" s="25" t="str">
        <f t="shared" si="147"/>
        <v/>
      </c>
      <c r="J989" s="25" t="str">
        <f>IF($E989="","",IF($F989+$G989&gt;0,Inputs!$B$11,0))</f>
        <v/>
      </c>
      <c r="K989" s="25" t="str">
        <f t="shared" si="148"/>
        <v/>
      </c>
      <c r="L989" s="25" t="str">
        <f t="shared" si="149"/>
        <v/>
      </c>
      <c r="M989" s="25" t="str">
        <f t="shared" si="150"/>
        <v/>
      </c>
      <c r="N989" s="84" t="str">
        <f t="shared" si="151"/>
        <v/>
      </c>
      <c r="O989" s="23" t="str">
        <f t="shared" si="152"/>
        <v/>
      </c>
    </row>
    <row r="990" spans="1:15" ht="20" customHeight="1">
      <c r="A990" s="22" t="str">
        <f t="shared" si="144"/>
        <v/>
      </c>
      <c r="B990" s="23" t="str">
        <f>IF($E990="","",304)</f>
        <v/>
      </c>
      <c r="C990" s="24" t="str">
        <f>IF($E990="","",Inputs!$B$9+(303*Inputs!$B$21))</f>
        <v/>
      </c>
      <c r="D990" s="23" t="str">
        <f t="shared" si="145"/>
        <v/>
      </c>
      <c r="E990" s="25" t="str">
        <f t="shared" si="146"/>
        <v/>
      </c>
      <c r="F990" s="25" t="str">
        <f>IF($E990="","",ROUND(MIN(Comparison!$D$5,MAX(0,$E990+$H990)),2))</f>
        <v/>
      </c>
      <c r="G990" s="25" t="str">
        <f>IF($E990="","",ROUND(MIN(Inputs!$B$10,MAX(0,$E990+$H990-$F990)),2))</f>
        <v/>
      </c>
      <c r="H990" s="25" t="str">
        <f>IF($E990="","",ROUND(IF(Inputs!$B$12="Daily Simple Interest",$E990*Inputs!$B$6/Inputs!$B$17*$D990,$E990*Inputs!$B$6/Inputs!$B$20),2))</f>
        <v/>
      </c>
      <c r="I990" s="25" t="str">
        <f t="shared" si="147"/>
        <v/>
      </c>
      <c r="J990" s="25" t="str">
        <f>IF($E990="","",IF($F990+$G990&gt;0,Inputs!$B$11,0))</f>
        <v/>
      </c>
      <c r="K990" s="25" t="str">
        <f t="shared" si="148"/>
        <v/>
      </c>
      <c r="L990" s="25" t="str">
        <f t="shared" si="149"/>
        <v/>
      </c>
      <c r="M990" s="25" t="str">
        <f t="shared" si="150"/>
        <v/>
      </c>
      <c r="N990" s="84" t="str">
        <f t="shared" si="151"/>
        <v/>
      </c>
      <c r="O990" s="23" t="str">
        <f t="shared" si="152"/>
        <v/>
      </c>
    </row>
    <row r="991" spans="1:15" ht="20" customHeight="1">
      <c r="A991" s="22" t="str">
        <f t="shared" si="144"/>
        <v/>
      </c>
      <c r="B991" s="23" t="str">
        <f>IF($E991="","",305)</f>
        <v/>
      </c>
      <c r="C991" s="24" t="str">
        <f>IF($E991="","",Inputs!$B$9+(304*Inputs!$B$21))</f>
        <v/>
      </c>
      <c r="D991" s="23" t="str">
        <f t="shared" si="145"/>
        <v/>
      </c>
      <c r="E991" s="25" t="str">
        <f t="shared" si="146"/>
        <v/>
      </c>
      <c r="F991" s="25" t="str">
        <f>IF($E991="","",ROUND(MIN(Comparison!$D$5,MAX(0,$E991+$H991)),2))</f>
        <v/>
      </c>
      <c r="G991" s="25" t="str">
        <f>IF($E991="","",ROUND(MIN(Inputs!$B$10,MAX(0,$E991+$H991-$F991)),2))</f>
        <v/>
      </c>
      <c r="H991" s="25" t="str">
        <f>IF($E991="","",ROUND(IF(Inputs!$B$12="Daily Simple Interest",$E991*Inputs!$B$6/Inputs!$B$17*$D991,$E991*Inputs!$B$6/Inputs!$B$20),2))</f>
        <v/>
      </c>
      <c r="I991" s="25" t="str">
        <f t="shared" si="147"/>
        <v/>
      </c>
      <c r="J991" s="25" t="str">
        <f>IF($E991="","",IF($F991+$G991&gt;0,Inputs!$B$11,0))</f>
        <v/>
      </c>
      <c r="K991" s="25" t="str">
        <f t="shared" si="148"/>
        <v/>
      </c>
      <c r="L991" s="25" t="str">
        <f t="shared" si="149"/>
        <v/>
      </c>
      <c r="M991" s="25" t="str">
        <f t="shared" si="150"/>
        <v/>
      </c>
      <c r="N991" s="84" t="str">
        <f t="shared" si="151"/>
        <v/>
      </c>
      <c r="O991" s="23" t="str">
        <f t="shared" si="152"/>
        <v/>
      </c>
    </row>
    <row r="992" spans="1:15" ht="20" customHeight="1">
      <c r="A992" s="22" t="str">
        <f t="shared" si="144"/>
        <v/>
      </c>
      <c r="B992" s="23" t="str">
        <f>IF($E992="","",306)</f>
        <v/>
      </c>
      <c r="C992" s="24" t="str">
        <f>IF($E992="","",Inputs!$B$9+(305*Inputs!$B$21))</f>
        <v/>
      </c>
      <c r="D992" s="23" t="str">
        <f t="shared" si="145"/>
        <v/>
      </c>
      <c r="E992" s="25" t="str">
        <f t="shared" si="146"/>
        <v/>
      </c>
      <c r="F992" s="25" t="str">
        <f>IF($E992="","",ROUND(MIN(Comparison!$D$5,MAX(0,$E992+$H992)),2))</f>
        <v/>
      </c>
      <c r="G992" s="25" t="str">
        <f>IF($E992="","",ROUND(MIN(Inputs!$B$10,MAX(0,$E992+$H992-$F992)),2))</f>
        <v/>
      </c>
      <c r="H992" s="25" t="str">
        <f>IF($E992="","",ROUND(IF(Inputs!$B$12="Daily Simple Interest",$E992*Inputs!$B$6/Inputs!$B$17*$D992,$E992*Inputs!$B$6/Inputs!$B$20),2))</f>
        <v/>
      </c>
      <c r="I992" s="25" t="str">
        <f t="shared" si="147"/>
        <v/>
      </c>
      <c r="J992" s="25" t="str">
        <f>IF($E992="","",IF($F992+$G992&gt;0,Inputs!$B$11,0))</f>
        <v/>
      </c>
      <c r="K992" s="25" t="str">
        <f t="shared" si="148"/>
        <v/>
      </c>
      <c r="L992" s="25" t="str">
        <f t="shared" si="149"/>
        <v/>
      </c>
      <c r="M992" s="25" t="str">
        <f t="shared" si="150"/>
        <v/>
      </c>
      <c r="N992" s="84" t="str">
        <f t="shared" si="151"/>
        <v/>
      </c>
      <c r="O992" s="23" t="str">
        <f t="shared" si="152"/>
        <v/>
      </c>
    </row>
    <row r="993" spans="1:15" ht="20" customHeight="1">
      <c r="A993" s="22" t="str">
        <f t="shared" si="144"/>
        <v/>
      </c>
      <c r="B993" s="23" t="str">
        <f>IF($E993="","",307)</f>
        <v/>
      </c>
      <c r="C993" s="24" t="str">
        <f>IF($E993="","",Inputs!$B$9+(306*Inputs!$B$21))</f>
        <v/>
      </c>
      <c r="D993" s="23" t="str">
        <f t="shared" si="145"/>
        <v/>
      </c>
      <c r="E993" s="25" t="str">
        <f t="shared" si="146"/>
        <v/>
      </c>
      <c r="F993" s="25" t="str">
        <f>IF($E993="","",ROUND(MIN(Comparison!$D$5,MAX(0,$E993+$H993)),2))</f>
        <v/>
      </c>
      <c r="G993" s="25" t="str">
        <f>IF($E993="","",ROUND(MIN(Inputs!$B$10,MAX(0,$E993+$H993-$F993)),2))</f>
        <v/>
      </c>
      <c r="H993" s="25" t="str">
        <f>IF($E993="","",ROUND(IF(Inputs!$B$12="Daily Simple Interest",$E993*Inputs!$B$6/Inputs!$B$17*$D993,$E993*Inputs!$B$6/Inputs!$B$20),2))</f>
        <v/>
      </c>
      <c r="I993" s="25" t="str">
        <f t="shared" si="147"/>
        <v/>
      </c>
      <c r="J993" s="25" t="str">
        <f>IF($E993="","",IF($F993+$G993&gt;0,Inputs!$B$11,0))</f>
        <v/>
      </c>
      <c r="K993" s="25" t="str">
        <f t="shared" si="148"/>
        <v/>
      </c>
      <c r="L993" s="25" t="str">
        <f t="shared" si="149"/>
        <v/>
      </c>
      <c r="M993" s="25" t="str">
        <f t="shared" si="150"/>
        <v/>
      </c>
      <c r="N993" s="84" t="str">
        <f t="shared" si="151"/>
        <v/>
      </c>
      <c r="O993" s="23" t="str">
        <f t="shared" si="152"/>
        <v/>
      </c>
    </row>
    <row r="994" spans="1:15" ht="20" customHeight="1">
      <c r="A994" s="22" t="str">
        <f t="shared" si="144"/>
        <v/>
      </c>
      <c r="B994" s="23" t="str">
        <f>IF($E994="","",308)</f>
        <v/>
      </c>
      <c r="C994" s="24" t="str">
        <f>IF($E994="","",Inputs!$B$9+(307*Inputs!$B$21))</f>
        <v/>
      </c>
      <c r="D994" s="23" t="str">
        <f t="shared" si="145"/>
        <v/>
      </c>
      <c r="E994" s="25" t="str">
        <f t="shared" si="146"/>
        <v/>
      </c>
      <c r="F994" s="25" t="str">
        <f>IF($E994="","",ROUND(MIN(Comparison!$D$5,MAX(0,$E994+$H994)),2))</f>
        <v/>
      </c>
      <c r="G994" s="25" t="str">
        <f>IF($E994="","",ROUND(MIN(Inputs!$B$10,MAX(0,$E994+$H994-$F994)),2))</f>
        <v/>
      </c>
      <c r="H994" s="25" t="str">
        <f>IF($E994="","",ROUND(IF(Inputs!$B$12="Daily Simple Interest",$E994*Inputs!$B$6/Inputs!$B$17*$D994,$E994*Inputs!$B$6/Inputs!$B$20),2))</f>
        <v/>
      </c>
      <c r="I994" s="25" t="str">
        <f t="shared" si="147"/>
        <v/>
      </c>
      <c r="J994" s="25" t="str">
        <f>IF($E994="","",IF($F994+$G994&gt;0,Inputs!$B$11,0))</f>
        <v/>
      </c>
      <c r="K994" s="25" t="str">
        <f t="shared" si="148"/>
        <v/>
      </c>
      <c r="L994" s="25" t="str">
        <f t="shared" si="149"/>
        <v/>
      </c>
      <c r="M994" s="25" t="str">
        <f t="shared" si="150"/>
        <v/>
      </c>
      <c r="N994" s="84" t="str">
        <f t="shared" si="151"/>
        <v/>
      </c>
      <c r="O994" s="23" t="str">
        <f t="shared" si="152"/>
        <v/>
      </c>
    </row>
    <row r="995" spans="1:15" ht="20" customHeight="1">
      <c r="A995" s="22" t="str">
        <f t="shared" si="144"/>
        <v/>
      </c>
      <c r="B995" s="23" t="str">
        <f>IF($E995="","",309)</f>
        <v/>
      </c>
      <c r="C995" s="24" t="str">
        <f>IF($E995="","",Inputs!$B$9+(308*Inputs!$B$21))</f>
        <v/>
      </c>
      <c r="D995" s="23" t="str">
        <f t="shared" si="145"/>
        <v/>
      </c>
      <c r="E995" s="25" t="str">
        <f t="shared" si="146"/>
        <v/>
      </c>
      <c r="F995" s="25" t="str">
        <f>IF($E995="","",ROUND(MIN(Comparison!$D$5,MAX(0,$E995+$H995)),2))</f>
        <v/>
      </c>
      <c r="G995" s="25" t="str">
        <f>IF($E995="","",ROUND(MIN(Inputs!$B$10,MAX(0,$E995+$H995-$F995)),2))</f>
        <v/>
      </c>
      <c r="H995" s="25" t="str">
        <f>IF($E995="","",ROUND(IF(Inputs!$B$12="Daily Simple Interest",$E995*Inputs!$B$6/Inputs!$B$17*$D995,$E995*Inputs!$B$6/Inputs!$B$20),2))</f>
        <v/>
      </c>
      <c r="I995" s="25" t="str">
        <f t="shared" si="147"/>
        <v/>
      </c>
      <c r="J995" s="25" t="str">
        <f>IF($E995="","",IF($F995+$G995&gt;0,Inputs!$B$11,0))</f>
        <v/>
      </c>
      <c r="K995" s="25" t="str">
        <f t="shared" si="148"/>
        <v/>
      </c>
      <c r="L995" s="25" t="str">
        <f t="shared" si="149"/>
        <v/>
      </c>
      <c r="M995" s="25" t="str">
        <f t="shared" si="150"/>
        <v/>
      </c>
      <c r="N995" s="84" t="str">
        <f t="shared" si="151"/>
        <v/>
      </c>
      <c r="O995" s="23" t="str">
        <f t="shared" si="152"/>
        <v/>
      </c>
    </row>
    <row r="996" spans="1:15" ht="20" customHeight="1">
      <c r="A996" s="22" t="str">
        <f t="shared" si="144"/>
        <v/>
      </c>
      <c r="B996" s="23" t="str">
        <f>IF($E996="","",310)</f>
        <v/>
      </c>
      <c r="C996" s="24" t="str">
        <f>IF($E996="","",Inputs!$B$9+(309*Inputs!$B$21))</f>
        <v/>
      </c>
      <c r="D996" s="23" t="str">
        <f t="shared" si="145"/>
        <v/>
      </c>
      <c r="E996" s="25" t="str">
        <f t="shared" si="146"/>
        <v/>
      </c>
      <c r="F996" s="25" t="str">
        <f>IF($E996="","",ROUND(MIN(Comparison!$D$5,MAX(0,$E996+$H996)),2))</f>
        <v/>
      </c>
      <c r="G996" s="25" t="str">
        <f>IF($E996="","",ROUND(MIN(Inputs!$B$10,MAX(0,$E996+$H996-$F996)),2))</f>
        <v/>
      </c>
      <c r="H996" s="25" t="str">
        <f>IF($E996="","",ROUND(IF(Inputs!$B$12="Daily Simple Interest",$E996*Inputs!$B$6/Inputs!$B$17*$D996,$E996*Inputs!$B$6/Inputs!$B$20),2))</f>
        <v/>
      </c>
      <c r="I996" s="25" t="str">
        <f t="shared" si="147"/>
        <v/>
      </c>
      <c r="J996" s="25" t="str">
        <f>IF($E996="","",IF($F996+$G996&gt;0,Inputs!$B$11,0))</f>
        <v/>
      </c>
      <c r="K996" s="25" t="str">
        <f t="shared" si="148"/>
        <v/>
      </c>
      <c r="L996" s="25" t="str">
        <f t="shared" si="149"/>
        <v/>
      </c>
      <c r="M996" s="25" t="str">
        <f t="shared" si="150"/>
        <v/>
      </c>
      <c r="N996" s="84" t="str">
        <f t="shared" si="151"/>
        <v/>
      </c>
      <c r="O996" s="23" t="str">
        <f t="shared" si="152"/>
        <v/>
      </c>
    </row>
    <row r="997" spans="1:15" ht="20" customHeight="1">
      <c r="A997" s="22" t="str">
        <f t="shared" si="144"/>
        <v/>
      </c>
      <c r="B997" s="23" t="str">
        <f>IF($E997="","",311)</f>
        <v/>
      </c>
      <c r="C997" s="24" t="str">
        <f>IF($E997="","",Inputs!$B$9+(310*Inputs!$B$21))</f>
        <v/>
      </c>
      <c r="D997" s="23" t="str">
        <f t="shared" si="145"/>
        <v/>
      </c>
      <c r="E997" s="25" t="str">
        <f t="shared" si="146"/>
        <v/>
      </c>
      <c r="F997" s="25" t="str">
        <f>IF($E997="","",ROUND(MIN(Comparison!$D$5,MAX(0,$E997+$H997)),2))</f>
        <v/>
      </c>
      <c r="G997" s="25" t="str">
        <f>IF($E997="","",ROUND(MIN(Inputs!$B$10,MAX(0,$E997+$H997-$F997)),2))</f>
        <v/>
      </c>
      <c r="H997" s="25" t="str">
        <f>IF($E997="","",ROUND(IF(Inputs!$B$12="Daily Simple Interest",$E997*Inputs!$B$6/Inputs!$B$17*$D997,$E997*Inputs!$B$6/Inputs!$B$20),2))</f>
        <v/>
      </c>
      <c r="I997" s="25" t="str">
        <f t="shared" si="147"/>
        <v/>
      </c>
      <c r="J997" s="25" t="str">
        <f>IF($E997="","",IF($F997+$G997&gt;0,Inputs!$B$11,0))</f>
        <v/>
      </c>
      <c r="K997" s="25" t="str">
        <f t="shared" si="148"/>
        <v/>
      </c>
      <c r="L997" s="25" t="str">
        <f t="shared" si="149"/>
        <v/>
      </c>
      <c r="M997" s="25" t="str">
        <f t="shared" si="150"/>
        <v/>
      </c>
      <c r="N997" s="84" t="str">
        <f t="shared" si="151"/>
        <v/>
      </c>
      <c r="O997" s="23" t="str">
        <f t="shared" si="152"/>
        <v/>
      </c>
    </row>
    <row r="998" spans="1:15" ht="20" customHeight="1">
      <c r="A998" s="22" t="str">
        <f t="shared" si="144"/>
        <v/>
      </c>
      <c r="B998" s="23" t="str">
        <f>IF($E998="","",312)</f>
        <v/>
      </c>
      <c r="C998" s="24" t="str">
        <f>IF($E998="","",Inputs!$B$9+(311*Inputs!$B$21))</f>
        <v/>
      </c>
      <c r="D998" s="23" t="str">
        <f t="shared" si="145"/>
        <v/>
      </c>
      <c r="E998" s="25" t="str">
        <f t="shared" si="146"/>
        <v/>
      </c>
      <c r="F998" s="25" t="str">
        <f>IF($E998="","",ROUND(MIN(Comparison!$D$5,MAX(0,$E998+$H998)),2))</f>
        <v/>
      </c>
      <c r="G998" s="25" t="str">
        <f>IF($E998="","",ROUND(MIN(Inputs!$B$10,MAX(0,$E998+$H998-$F998)),2))</f>
        <v/>
      </c>
      <c r="H998" s="25" t="str">
        <f>IF($E998="","",ROUND(IF(Inputs!$B$12="Daily Simple Interest",$E998*Inputs!$B$6/Inputs!$B$17*$D998,$E998*Inputs!$B$6/Inputs!$B$20),2))</f>
        <v/>
      </c>
      <c r="I998" s="25" t="str">
        <f t="shared" si="147"/>
        <v/>
      </c>
      <c r="J998" s="25" t="str">
        <f>IF($E998="","",IF($F998+$G998&gt;0,Inputs!$B$11,0))</f>
        <v/>
      </c>
      <c r="K998" s="25" t="str">
        <f t="shared" si="148"/>
        <v/>
      </c>
      <c r="L998" s="25" t="str">
        <f t="shared" si="149"/>
        <v/>
      </c>
      <c r="M998" s="25" t="str">
        <f t="shared" si="150"/>
        <v/>
      </c>
      <c r="N998" s="84" t="str">
        <f t="shared" si="151"/>
        <v/>
      </c>
      <c r="O998" s="23" t="str">
        <f t="shared" si="152"/>
        <v/>
      </c>
    </row>
    <row r="999" spans="1:15" ht="20" customHeight="1">
      <c r="A999" s="22" t="str">
        <f t="shared" si="144"/>
        <v/>
      </c>
      <c r="B999" s="23" t="str">
        <f>IF($E999="","",313)</f>
        <v/>
      </c>
      <c r="C999" s="24" t="str">
        <f>IF($E999="","",Inputs!$B$9+(312*Inputs!$B$21))</f>
        <v/>
      </c>
      <c r="D999" s="23" t="str">
        <f t="shared" si="145"/>
        <v/>
      </c>
      <c r="E999" s="25" t="str">
        <f t="shared" si="146"/>
        <v/>
      </c>
      <c r="F999" s="25" t="str">
        <f>IF($E999="","",ROUND(MIN(Comparison!$D$5,MAX(0,$E999+$H999)),2))</f>
        <v/>
      </c>
      <c r="G999" s="25" t="str">
        <f>IF($E999="","",ROUND(MIN(Inputs!$B$10,MAX(0,$E999+$H999-$F999)),2))</f>
        <v/>
      </c>
      <c r="H999" s="25" t="str">
        <f>IF($E999="","",ROUND(IF(Inputs!$B$12="Daily Simple Interest",$E999*Inputs!$B$6/Inputs!$B$17*$D999,$E999*Inputs!$B$6/Inputs!$B$20),2))</f>
        <v/>
      </c>
      <c r="I999" s="25" t="str">
        <f t="shared" si="147"/>
        <v/>
      </c>
      <c r="J999" s="25" t="str">
        <f>IF($E999="","",IF($F999+$G999&gt;0,Inputs!$B$11,0))</f>
        <v/>
      </c>
      <c r="K999" s="25" t="str">
        <f t="shared" si="148"/>
        <v/>
      </c>
      <c r="L999" s="25" t="str">
        <f t="shared" si="149"/>
        <v/>
      </c>
      <c r="M999" s="25" t="str">
        <f t="shared" si="150"/>
        <v/>
      </c>
      <c r="N999" s="84" t="str">
        <f t="shared" si="151"/>
        <v/>
      </c>
      <c r="O999" s="23" t="str">
        <f t="shared" si="152"/>
        <v/>
      </c>
    </row>
    <row r="1000" spans="1:15" ht="20" customHeight="1">
      <c r="A1000" s="22" t="str">
        <f t="shared" si="144"/>
        <v/>
      </c>
      <c r="B1000" s="23" t="str">
        <f>IF($E1000="","",314)</f>
        <v/>
      </c>
      <c r="C1000" s="24" t="str">
        <f>IF($E1000="","",Inputs!$B$9+(313*Inputs!$B$21))</f>
        <v/>
      </c>
      <c r="D1000" s="23" t="str">
        <f t="shared" si="145"/>
        <v/>
      </c>
      <c r="E1000" s="25" t="str">
        <f t="shared" si="146"/>
        <v/>
      </c>
      <c r="F1000" s="25" t="str">
        <f>IF($E1000="","",ROUND(MIN(Comparison!$D$5,MAX(0,$E1000+$H1000)),2))</f>
        <v/>
      </c>
      <c r="G1000" s="25" t="str">
        <f>IF($E1000="","",ROUND(MIN(Inputs!$B$10,MAX(0,$E1000+$H1000-$F1000)),2))</f>
        <v/>
      </c>
      <c r="H1000" s="25" t="str">
        <f>IF($E1000="","",ROUND(IF(Inputs!$B$12="Daily Simple Interest",$E1000*Inputs!$B$6/Inputs!$B$17*$D1000,$E1000*Inputs!$B$6/Inputs!$B$20),2))</f>
        <v/>
      </c>
      <c r="I1000" s="25" t="str">
        <f t="shared" si="147"/>
        <v/>
      </c>
      <c r="J1000" s="25" t="str">
        <f>IF($E1000="","",IF($F1000+$G1000&gt;0,Inputs!$B$11,0))</f>
        <v/>
      </c>
      <c r="K1000" s="25" t="str">
        <f t="shared" si="148"/>
        <v/>
      </c>
      <c r="L1000" s="25" t="str">
        <f t="shared" si="149"/>
        <v/>
      </c>
      <c r="M1000" s="25" t="str">
        <f t="shared" si="150"/>
        <v/>
      </c>
      <c r="N1000" s="84" t="str">
        <f t="shared" si="151"/>
        <v/>
      </c>
      <c r="O1000" s="23" t="str">
        <f t="shared" si="152"/>
        <v/>
      </c>
    </row>
    <row r="1001" spans="1:15" ht="20" customHeight="1">
      <c r="A1001" s="22" t="str">
        <f t="shared" si="144"/>
        <v/>
      </c>
      <c r="B1001" s="23" t="str">
        <f>IF($E1001="","",315)</f>
        <v/>
      </c>
      <c r="C1001" s="24" t="str">
        <f>IF($E1001="","",Inputs!$B$9+(314*Inputs!$B$21))</f>
        <v/>
      </c>
      <c r="D1001" s="23" t="str">
        <f t="shared" si="145"/>
        <v/>
      </c>
      <c r="E1001" s="25" t="str">
        <f t="shared" si="146"/>
        <v/>
      </c>
      <c r="F1001" s="25" t="str">
        <f>IF($E1001="","",ROUND(MIN(Comparison!$D$5,MAX(0,$E1001+$H1001)),2))</f>
        <v/>
      </c>
      <c r="G1001" s="25" t="str">
        <f>IF($E1001="","",ROUND(MIN(Inputs!$B$10,MAX(0,$E1001+$H1001-$F1001)),2))</f>
        <v/>
      </c>
      <c r="H1001" s="25" t="str">
        <f>IF($E1001="","",ROUND(IF(Inputs!$B$12="Daily Simple Interest",$E1001*Inputs!$B$6/Inputs!$B$17*$D1001,$E1001*Inputs!$B$6/Inputs!$B$20),2))</f>
        <v/>
      </c>
      <c r="I1001" s="25" t="str">
        <f t="shared" si="147"/>
        <v/>
      </c>
      <c r="J1001" s="25" t="str">
        <f>IF($E1001="","",IF($F1001+$G1001&gt;0,Inputs!$B$11,0))</f>
        <v/>
      </c>
      <c r="K1001" s="25" t="str">
        <f t="shared" si="148"/>
        <v/>
      </c>
      <c r="L1001" s="25" t="str">
        <f t="shared" si="149"/>
        <v/>
      </c>
      <c r="M1001" s="25" t="str">
        <f t="shared" si="150"/>
        <v/>
      </c>
      <c r="N1001" s="84" t="str">
        <f t="shared" si="151"/>
        <v/>
      </c>
      <c r="O1001" s="23" t="str">
        <f t="shared" si="152"/>
        <v/>
      </c>
    </row>
    <row r="1002" spans="1:15" ht="20" customHeight="1">
      <c r="A1002" s="22" t="str">
        <f t="shared" si="144"/>
        <v/>
      </c>
      <c r="B1002" s="23" t="str">
        <f>IF($E1002="","",316)</f>
        <v/>
      </c>
      <c r="C1002" s="24" t="str">
        <f>IF($E1002="","",Inputs!$B$9+(315*Inputs!$B$21))</f>
        <v/>
      </c>
      <c r="D1002" s="23" t="str">
        <f t="shared" si="145"/>
        <v/>
      </c>
      <c r="E1002" s="25" t="str">
        <f t="shared" si="146"/>
        <v/>
      </c>
      <c r="F1002" s="25" t="str">
        <f>IF($E1002="","",ROUND(MIN(Comparison!$D$5,MAX(0,$E1002+$H1002)),2))</f>
        <v/>
      </c>
      <c r="G1002" s="25" t="str">
        <f>IF($E1002="","",ROUND(MIN(Inputs!$B$10,MAX(0,$E1002+$H1002-$F1002)),2))</f>
        <v/>
      </c>
      <c r="H1002" s="25" t="str">
        <f>IF($E1002="","",ROUND(IF(Inputs!$B$12="Daily Simple Interest",$E1002*Inputs!$B$6/Inputs!$B$17*$D1002,$E1002*Inputs!$B$6/Inputs!$B$20),2))</f>
        <v/>
      </c>
      <c r="I1002" s="25" t="str">
        <f t="shared" si="147"/>
        <v/>
      </c>
      <c r="J1002" s="25" t="str">
        <f>IF($E1002="","",IF($F1002+$G1002&gt;0,Inputs!$B$11,0))</f>
        <v/>
      </c>
      <c r="K1002" s="25" t="str">
        <f t="shared" si="148"/>
        <v/>
      </c>
      <c r="L1002" s="25" t="str">
        <f t="shared" si="149"/>
        <v/>
      </c>
      <c r="M1002" s="25" t="str">
        <f t="shared" si="150"/>
        <v/>
      </c>
      <c r="N1002" s="84" t="str">
        <f t="shared" si="151"/>
        <v/>
      </c>
      <c r="O1002" s="23" t="str">
        <f t="shared" si="152"/>
        <v/>
      </c>
    </row>
    <row r="1003" spans="1:15" ht="20" customHeight="1">
      <c r="A1003" s="22" t="str">
        <f t="shared" si="144"/>
        <v/>
      </c>
      <c r="B1003" s="23" t="str">
        <f>IF($E1003="","",317)</f>
        <v/>
      </c>
      <c r="C1003" s="24" t="str">
        <f>IF($E1003="","",Inputs!$B$9+(316*Inputs!$B$21))</f>
        <v/>
      </c>
      <c r="D1003" s="23" t="str">
        <f t="shared" si="145"/>
        <v/>
      </c>
      <c r="E1003" s="25" t="str">
        <f t="shared" si="146"/>
        <v/>
      </c>
      <c r="F1003" s="25" t="str">
        <f>IF($E1003="","",ROUND(MIN(Comparison!$D$5,MAX(0,$E1003+$H1003)),2))</f>
        <v/>
      </c>
      <c r="G1003" s="25" t="str">
        <f>IF($E1003="","",ROUND(MIN(Inputs!$B$10,MAX(0,$E1003+$H1003-$F1003)),2))</f>
        <v/>
      </c>
      <c r="H1003" s="25" t="str">
        <f>IF($E1003="","",ROUND(IF(Inputs!$B$12="Daily Simple Interest",$E1003*Inputs!$B$6/Inputs!$B$17*$D1003,$E1003*Inputs!$B$6/Inputs!$B$20),2))</f>
        <v/>
      </c>
      <c r="I1003" s="25" t="str">
        <f t="shared" si="147"/>
        <v/>
      </c>
      <c r="J1003" s="25" t="str">
        <f>IF($E1003="","",IF($F1003+$G1003&gt;0,Inputs!$B$11,0))</f>
        <v/>
      </c>
      <c r="K1003" s="25" t="str">
        <f t="shared" si="148"/>
        <v/>
      </c>
      <c r="L1003" s="25" t="str">
        <f t="shared" si="149"/>
        <v/>
      </c>
      <c r="M1003" s="25" t="str">
        <f t="shared" si="150"/>
        <v/>
      </c>
      <c r="N1003" s="84" t="str">
        <f t="shared" si="151"/>
        <v/>
      </c>
      <c r="O1003" s="23" t="str">
        <f t="shared" si="152"/>
        <v/>
      </c>
    </row>
    <row r="1004" spans="1:15" ht="20" customHeight="1">
      <c r="A1004" s="22" t="str">
        <f t="shared" si="144"/>
        <v/>
      </c>
      <c r="B1004" s="23" t="str">
        <f>IF($E1004="","",318)</f>
        <v/>
      </c>
      <c r="C1004" s="24" t="str">
        <f>IF($E1004="","",Inputs!$B$9+(317*Inputs!$B$21))</f>
        <v/>
      </c>
      <c r="D1004" s="23" t="str">
        <f t="shared" si="145"/>
        <v/>
      </c>
      <c r="E1004" s="25" t="str">
        <f t="shared" si="146"/>
        <v/>
      </c>
      <c r="F1004" s="25" t="str">
        <f>IF($E1004="","",ROUND(MIN(Comparison!$D$5,MAX(0,$E1004+$H1004)),2))</f>
        <v/>
      </c>
      <c r="G1004" s="25" t="str">
        <f>IF($E1004="","",ROUND(MIN(Inputs!$B$10,MAX(0,$E1004+$H1004-$F1004)),2))</f>
        <v/>
      </c>
      <c r="H1004" s="25" t="str">
        <f>IF($E1004="","",ROUND(IF(Inputs!$B$12="Daily Simple Interest",$E1004*Inputs!$B$6/Inputs!$B$17*$D1004,$E1004*Inputs!$B$6/Inputs!$B$20),2))</f>
        <v/>
      </c>
      <c r="I1004" s="25" t="str">
        <f t="shared" si="147"/>
        <v/>
      </c>
      <c r="J1004" s="25" t="str">
        <f>IF($E1004="","",IF($F1004+$G1004&gt;0,Inputs!$B$11,0))</f>
        <v/>
      </c>
      <c r="K1004" s="25" t="str">
        <f t="shared" si="148"/>
        <v/>
      </c>
      <c r="L1004" s="25" t="str">
        <f t="shared" si="149"/>
        <v/>
      </c>
      <c r="M1004" s="25" t="str">
        <f t="shared" si="150"/>
        <v/>
      </c>
      <c r="N1004" s="84" t="str">
        <f t="shared" si="151"/>
        <v/>
      </c>
      <c r="O1004" s="23" t="str">
        <f t="shared" si="152"/>
        <v/>
      </c>
    </row>
    <row r="1005" spans="1:15" ht="20" customHeight="1">
      <c r="A1005" s="22" t="str">
        <f t="shared" si="144"/>
        <v/>
      </c>
      <c r="B1005" s="23" t="str">
        <f>IF($E1005="","",319)</f>
        <v/>
      </c>
      <c r="C1005" s="24" t="str">
        <f>IF($E1005="","",Inputs!$B$9+(318*Inputs!$B$21))</f>
        <v/>
      </c>
      <c r="D1005" s="23" t="str">
        <f t="shared" si="145"/>
        <v/>
      </c>
      <c r="E1005" s="25" t="str">
        <f t="shared" si="146"/>
        <v/>
      </c>
      <c r="F1005" s="25" t="str">
        <f>IF($E1005="","",ROUND(MIN(Comparison!$D$5,MAX(0,$E1005+$H1005)),2))</f>
        <v/>
      </c>
      <c r="G1005" s="25" t="str">
        <f>IF($E1005="","",ROUND(MIN(Inputs!$B$10,MAX(0,$E1005+$H1005-$F1005)),2))</f>
        <v/>
      </c>
      <c r="H1005" s="25" t="str">
        <f>IF($E1005="","",ROUND(IF(Inputs!$B$12="Daily Simple Interest",$E1005*Inputs!$B$6/Inputs!$B$17*$D1005,$E1005*Inputs!$B$6/Inputs!$B$20),2))</f>
        <v/>
      </c>
      <c r="I1005" s="25" t="str">
        <f t="shared" si="147"/>
        <v/>
      </c>
      <c r="J1005" s="25" t="str">
        <f>IF($E1005="","",IF($F1005+$G1005&gt;0,Inputs!$B$11,0))</f>
        <v/>
      </c>
      <c r="K1005" s="25" t="str">
        <f t="shared" si="148"/>
        <v/>
      </c>
      <c r="L1005" s="25" t="str">
        <f t="shared" si="149"/>
        <v/>
      </c>
      <c r="M1005" s="25" t="str">
        <f t="shared" si="150"/>
        <v/>
      </c>
      <c r="N1005" s="84" t="str">
        <f t="shared" si="151"/>
        <v/>
      </c>
      <c r="O1005" s="23" t="str">
        <f t="shared" si="152"/>
        <v/>
      </c>
    </row>
    <row r="1006" spans="1:15" ht="20" customHeight="1">
      <c r="A1006" s="22" t="str">
        <f t="shared" si="144"/>
        <v/>
      </c>
      <c r="B1006" s="23" t="str">
        <f>IF($E1006="","",320)</f>
        <v/>
      </c>
      <c r="C1006" s="24" t="str">
        <f>IF($E1006="","",Inputs!$B$9+(319*Inputs!$B$21))</f>
        <v/>
      </c>
      <c r="D1006" s="23" t="str">
        <f t="shared" si="145"/>
        <v/>
      </c>
      <c r="E1006" s="25" t="str">
        <f t="shared" si="146"/>
        <v/>
      </c>
      <c r="F1006" s="25" t="str">
        <f>IF($E1006="","",ROUND(MIN(Comparison!$D$5,MAX(0,$E1006+$H1006)),2))</f>
        <v/>
      </c>
      <c r="G1006" s="25" t="str">
        <f>IF($E1006="","",ROUND(MIN(Inputs!$B$10,MAX(0,$E1006+$H1006-$F1006)),2))</f>
        <v/>
      </c>
      <c r="H1006" s="25" t="str">
        <f>IF($E1006="","",ROUND(IF(Inputs!$B$12="Daily Simple Interest",$E1006*Inputs!$B$6/Inputs!$B$17*$D1006,$E1006*Inputs!$B$6/Inputs!$B$20),2))</f>
        <v/>
      </c>
      <c r="I1006" s="25" t="str">
        <f t="shared" si="147"/>
        <v/>
      </c>
      <c r="J1006" s="25" t="str">
        <f>IF($E1006="","",IF($F1006+$G1006&gt;0,Inputs!$B$11,0))</f>
        <v/>
      </c>
      <c r="K1006" s="25" t="str">
        <f t="shared" si="148"/>
        <v/>
      </c>
      <c r="L1006" s="25" t="str">
        <f t="shared" si="149"/>
        <v/>
      </c>
      <c r="M1006" s="25" t="str">
        <f t="shared" si="150"/>
        <v/>
      </c>
      <c r="N1006" s="84" t="str">
        <f t="shared" si="151"/>
        <v/>
      </c>
      <c r="O1006" s="23" t="str">
        <f t="shared" si="152"/>
        <v/>
      </c>
    </row>
    <row r="1007" spans="1:15" ht="20" customHeight="1">
      <c r="A1007" s="22" t="str">
        <f t="shared" ref="A1007:A1026" si="153">IF($E1007="","","True Biweekly")</f>
        <v/>
      </c>
      <c r="B1007" s="23" t="str">
        <f>IF($E1007="","",321)</f>
        <v/>
      </c>
      <c r="C1007" s="24" t="str">
        <f>IF($E1007="","",Inputs!$B$9+(320*Inputs!$B$21))</f>
        <v/>
      </c>
      <c r="D1007" s="23" t="str">
        <f t="shared" si="145"/>
        <v/>
      </c>
      <c r="E1007" s="25" t="str">
        <f t="shared" si="146"/>
        <v/>
      </c>
      <c r="F1007" s="25" t="str">
        <f>IF($E1007="","",ROUND(MIN(Comparison!$D$5,MAX(0,$E1007+$H1007)),2))</f>
        <v/>
      </c>
      <c r="G1007" s="25" t="str">
        <f>IF($E1007="","",ROUND(MIN(Inputs!$B$10,MAX(0,$E1007+$H1007-$F1007)),2))</f>
        <v/>
      </c>
      <c r="H1007" s="25" t="str">
        <f>IF($E1007="","",ROUND(IF(Inputs!$B$12="Daily Simple Interest",$E1007*Inputs!$B$6/Inputs!$B$17*$D1007,$E1007*Inputs!$B$6/Inputs!$B$20),2))</f>
        <v/>
      </c>
      <c r="I1007" s="25" t="str">
        <f t="shared" si="147"/>
        <v/>
      </c>
      <c r="J1007" s="25" t="str">
        <f>IF($E1007="","",IF($F1007+$G1007&gt;0,Inputs!$B$11,0))</f>
        <v/>
      </c>
      <c r="K1007" s="25" t="str">
        <f t="shared" si="148"/>
        <v/>
      </c>
      <c r="L1007" s="25" t="str">
        <f t="shared" si="149"/>
        <v/>
      </c>
      <c r="M1007" s="25" t="str">
        <f t="shared" si="150"/>
        <v/>
      </c>
      <c r="N1007" s="84" t="str">
        <f t="shared" si="151"/>
        <v/>
      </c>
      <c r="O1007" s="23" t="str">
        <f t="shared" si="152"/>
        <v/>
      </c>
    </row>
    <row r="1008" spans="1:15" ht="20" customHeight="1">
      <c r="A1008" s="22" t="str">
        <f t="shared" si="153"/>
        <v/>
      </c>
      <c r="B1008" s="23" t="str">
        <f>IF($E1008="","",322)</f>
        <v/>
      </c>
      <c r="C1008" s="24" t="str">
        <f>IF($E1008="","",Inputs!$B$9+(321*Inputs!$B$21))</f>
        <v/>
      </c>
      <c r="D1008" s="23" t="str">
        <f t="shared" ref="D1008:D1026" si="154">IF($E1008="","",$C1008-$C1007)</f>
        <v/>
      </c>
      <c r="E1008" s="25" t="str">
        <f t="shared" ref="E1008:E1026" si="155">IF($K1007&gt;0.005,$K1007,"")</f>
        <v/>
      </c>
      <c r="F1008" s="25" t="str">
        <f>IF($E1008="","",ROUND(MIN(Comparison!$D$5,MAX(0,$E1008+$H1008)),2))</f>
        <v/>
      </c>
      <c r="G1008" s="25" t="str">
        <f>IF($E1008="","",ROUND(MIN(Inputs!$B$10,MAX(0,$E1008+$H1008-$F1008)),2))</f>
        <v/>
      </c>
      <c r="H1008" s="25" t="str">
        <f>IF($E1008="","",ROUND(IF(Inputs!$B$12="Daily Simple Interest",$E1008*Inputs!$B$6/Inputs!$B$17*$D1008,$E1008*Inputs!$B$6/Inputs!$B$20),2))</f>
        <v/>
      </c>
      <c r="I1008" s="25" t="str">
        <f t="shared" si="147"/>
        <v/>
      </c>
      <c r="J1008" s="25" t="str">
        <f>IF($E1008="","",IF($F1008+$G1008&gt;0,Inputs!$B$11,0))</f>
        <v/>
      </c>
      <c r="K1008" s="25" t="str">
        <f t="shared" si="148"/>
        <v/>
      </c>
      <c r="L1008" s="25" t="str">
        <f t="shared" si="149"/>
        <v/>
      </c>
      <c r="M1008" s="25" t="str">
        <f t="shared" si="150"/>
        <v/>
      </c>
      <c r="N1008" s="84" t="str">
        <f t="shared" si="151"/>
        <v/>
      </c>
      <c r="O1008" s="23" t="str">
        <f t="shared" si="152"/>
        <v/>
      </c>
    </row>
    <row r="1009" spans="1:15" ht="20" customHeight="1">
      <c r="A1009" s="22" t="str">
        <f t="shared" si="153"/>
        <v/>
      </c>
      <c r="B1009" s="23" t="str">
        <f>IF($E1009="","",323)</f>
        <v/>
      </c>
      <c r="C1009" s="24" t="str">
        <f>IF($E1009="","",Inputs!$B$9+(322*Inputs!$B$21))</f>
        <v/>
      </c>
      <c r="D1009" s="23" t="str">
        <f t="shared" si="154"/>
        <v/>
      </c>
      <c r="E1009" s="25" t="str">
        <f t="shared" si="155"/>
        <v/>
      </c>
      <c r="F1009" s="25" t="str">
        <f>IF($E1009="","",ROUND(MIN(Comparison!$D$5,MAX(0,$E1009+$H1009)),2))</f>
        <v/>
      </c>
      <c r="G1009" s="25" t="str">
        <f>IF($E1009="","",ROUND(MIN(Inputs!$B$10,MAX(0,$E1009+$H1009-$F1009)),2))</f>
        <v/>
      </c>
      <c r="H1009" s="25" t="str">
        <f>IF($E1009="","",ROUND(IF(Inputs!$B$12="Daily Simple Interest",$E1009*Inputs!$B$6/Inputs!$B$17*$D1009,$E1009*Inputs!$B$6/Inputs!$B$20),2))</f>
        <v/>
      </c>
      <c r="I1009" s="25" t="str">
        <f t="shared" si="147"/>
        <v/>
      </c>
      <c r="J1009" s="25" t="str">
        <f>IF($E1009="","",IF($F1009+$G1009&gt;0,Inputs!$B$11,0))</f>
        <v/>
      </c>
      <c r="K1009" s="25" t="str">
        <f t="shared" si="148"/>
        <v/>
      </c>
      <c r="L1009" s="25" t="str">
        <f t="shared" si="149"/>
        <v/>
      </c>
      <c r="M1009" s="25" t="str">
        <f t="shared" si="150"/>
        <v/>
      </c>
      <c r="N1009" s="84" t="str">
        <f t="shared" si="151"/>
        <v/>
      </c>
      <c r="O1009" s="23" t="str">
        <f t="shared" si="152"/>
        <v/>
      </c>
    </row>
    <row r="1010" spans="1:15" ht="20" customHeight="1">
      <c r="A1010" s="22" t="str">
        <f t="shared" si="153"/>
        <v/>
      </c>
      <c r="B1010" s="23" t="str">
        <f>IF($E1010="","",324)</f>
        <v/>
      </c>
      <c r="C1010" s="24" t="str">
        <f>IF($E1010="","",Inputs!$B$9+(323*Inputs!$B$21))</f>
        <v/>
      </c>
      <c r="D1010" s="23" t="str">
        <f t="shared" si="154"/>
        <v/>
      </c>
      <c r="E1010" s="25" t="str">
        <f t="shared" si="155"/>
        <v/>
      </c>
      <c r="F1010" s="25" t="str">
        <f>IF($E1010="","",ROUND(MIN(Comparison!$D$5,MAX(0,$E1010+$H1010)),2))</f>
        <v/>
      </c>
      <c r="G1010" s="25" t="str">
        <f>IF($E1010="","",ROUND(MIN(Inputs!$B$10,MAX(0,$E1010+$H1010-$F1010)),2))</f>
        <v/>
      </c>
      <c r="H1010" s="25" t="str">
        <f>IF($E1010="","",ROUND(IF(Inputs!$B$12="Daily Simple Interest",$E1010*Inputs!$B$6/Inputs!$B$17*$D1010,$E1010*Inputs!$B$6/Inputs!$B$20),2))</f>
        <v/>
      </c>
      <c r="I1010" s="25" t="str">
        <f t="shared" si="147"/>
        <v/>
      </c>
      <c r="J1010" s="25" t="str">
        <f>IF($E1010="","",IF($F1010+$G1010&gt;0,Inputs!$B$11,0))</f>
        <v/>
      </c>
      <c r="K1010" s="25" t="str">
        <f t="shared" si="148"/>
        <v/>
      </c>
      <c r="L1010" s="25" t="str">
        <f t="shared" si="149"/>
        <v/>
      </c>
      <c r="M1010" s="25" t="str">
        <f t="shared" si="150"/>
        <v/>
      </c>
      <c r="N1010" s="84" t="str">
        <f t="shared" si="151"/>
        <v/>
      </c>
      <c r="O1010" s="23" t="str">
        <f t="shared" si="152"/>
        <v/>
      </c>
    </row>
    <row r="1011" spans="1:15" ht="20" customHeight="1">
      <c r="A1011" s="22" t="str">
        <f t="shared" si="153"/>
        <v/>
      </c>
      <c r="B1011" s="23" t="str">
        <f>IF($E1011="","",325)</f>
        <v/>
      </c>
      <c r="C1011" s="24" t="str">
        <f>IF($E1011="","",Inputs!$B$9+(324*Inputs!$B$21))</f>
        <v/>
      </c>
      <c r="D1011" s="23" t="str">
        <f t="shared" si="154"/>
        <v/>
      </c>
      <c r="E1011" s="25" t="str">
        <f t="shared" si="155"/>
        <v/>
      </c>
      <c r="F1011" s="25" t="str">
        <f>IF($E1011="","",ROUND(MIN(Comparison!$D$5,MAX(0,$E1011+$H1011)),2))</f>
        <v/>
      </c>
      <c r="G1011" s="25" t="str">
        <f>IF($E1011="","",ROUND(MIN(Inputs!$B$10,MAX(0,$E1011+$H1011-$F1011)),2))</f>
        <v/>
      </c>
      <c r="H1011" s="25" t="str">
        <f>IF($E1011="","",ROUND(IF(Inputs!$B$12="Daily Simple Interest",$E1011*Inputs!$B$6/Inputs!$B$17*$D1011,$E1011*Inputs!$B$6/Inputs!$B$20),2))</f>
        <v/>
      </c>
      <c r="I1011" s="25" t="str">
        <f t="shared" si="147"/>
        <v/>
      </c>
      <c r="J1011" s="25" t="str">
        <f>IF($E1011="","",IF($F1011+$G1011&gt;0,Inputs!$B$11,0))</f>
        <v/>
      </c>
      <c r="K1011" s="25" t="str">
        <f t="shared" si="148"/>
        <v/>
      </c>
      <c r="L1011" s="25" t="str">
        <f t="shared" si="149"/>
        <v/>
      </c>
      <c r="M1011" s="25" t="str">
        <f t="shared" si="150"/>
        <v/>
      </c>
      <c r="N1011" s="84" t="str">
        <f t="shared" si="151"/>
        <v/>
      </c>
      <c r="O1011" s="23" t="str">
        <f t="shared" si="152"/>
        <v/>
      </c>
    </row>
    <row r="1012" spans="1:15" ht="20" customHeight="1">
      <c r="A1012" s="22" t="str">
        <f t="shared" si="153"/>
        <v/>
      </c>
      <c r="B1012" s="23" t="str">
        <f>IF($E1012="","",326)</f>
        <v/>
      </c>
      <c r="C1012" s="24" t="str">
        <f>IF($E1012="","",Inputs!$B$9+(325*Inputs!$B$21))</f>
        <v/>
      </c>
      <c r="D1012" s="23" t="str">
        <f t="shared" si="154"/>
        <v/>
      </c>
      <c r="E1012" s="25" t="str">
        <f t="shared" si="155"/>
        <v/>
      </c>
      <c r="F1012" s="25" t="str">
        <f>IF($E1012="","",ROUND(MIN(Comparison!$D$5,MAX(0,$E1012+$H1012)),2))</f>
        <v/>
      </c>
      <c r="G1012" s="25" t="str">
        <f>IF($E1012="","",ROUND(MIN(Inputs!$B$10,MAX(0,$E1012+$H1012-$F1012)),2))</f>
        <v/>
      </c>
      <c r="H1012" s="25" t="str">
        <f>IF($E1012="","",ROUND(IF(Inputs!$B$12="Daily Simple Interest",$E1012*Inputs!$B$6/Inputs!$B$17*$D1012,$E1012*Inputs!$B$6/Inputs!$B$20),2))</f>
        <v/>
      </c>
      <c r="I1012" s="25" t="str">
        <f t="shared" si="147"/>
        <v/>
      </c>
      <c r="J1012" s="25" t="str">
        <f>IF($E1012="","",IF($F1012+$G1012&gt;0,Inputs!$B$11,0))</f>
        <v/>
      </c>
      <c r="K1012" s="25" t="str">
        <f t="shared" si="148"/>
        <v/>
      </c>
      <c r="L1012" s="25" t="str">
        <f t="shared" si="149"/>
        <v/>
      </c>
      <c r="M1012" s="25" t="str">
        <f t="shared" si="150"/>
        <v/>
      </c>
      <c r="N1012" s="84" t="str">
        <f t="shared" si="151"/>
        <v/>
      </c>
      <c r="O1012" s="23" t="str">
        <f t="shared" si="152"/>
        <v/>
      </c>
    </row>
    <row r="1013" spans="1:15" ht="20" customHeight="1">
      <c r="A1013" s="22" t="str">
        <f t="shared" si="153"/>
        <v/>
      </c>
      <c r="B1013" s="23" t="str">
        <f>IF($E1013="","",327)</f>
        <v/>
      </c>
      <c r="C1013" s="24" t="str">
        <f>IF($E1013="","",Inputs!$B$9+(326*Inputs!$B$21))</f>
        <v/>
      </c>
      <c r="D1013" s="23" t="str">
        <f t="shared" si="154"/>
        <v/>
      </c>
      <c r="E1013" s="25" t="str">
        <f t="shared" si="155"/>
        <v/>
      </c>
      <c r="F1013" s="25" t="str">
        <f>IF($E1013="","",ROUND(MIN(Comparison!$D$5,MAX(0,$E1013+$H1013)),2))</f>
        <v/>
      </c>
      <c r="G1013" s="25" t="str">
        <f>IF($E1013="","",ROUND(MIN(Inputs!$B$10,MAX(0,$E1013+$H1013-$F1013)),2))</f>
        <v/>
      </c>
      <c r="H1013" s="25" t="str">
        <f>IF($E1013="","",ROUND(IF(Inputs!$B$12="Daily Simple Interest",$E1013*Inputs!$B$6/Inputs!$B$17*$D1013,$E1013*Inputs!$B$6/Inputs!$B$20),2))</f>
        <v/>
      </c>
      <c r="I1013" s="25" t="str">
        <f t="shared" si="147"/>
        <v/>
      </c>
      <c r="J1013" s="25" t="str">
        <f>IF($E1013="","",IF($F1013+$G1013&gt;0,Inputs!$B$11,0))</f>
        <v/>
      </c>
      <c r="K1013" s="25" t="str">
        <f t="shared" si="148"/>
        <v/>
      </c>
      <c r="L1013" s="25" t="str">
        <f t="shared" si="149"/>
        <v/>
      </c>
      <c r="M1013" s="25" t="str">
        <f t="shared" si="150"/>
        <v/>
      </c>
      <c r="N1013" s="84" t="str">
        <f t="shared" si="151"/>
        <v/>
      </c>
      <c r="O1013" s="23" t="str">
        <f t="shared" si="152"/>
        <v/>
      </c>
    </row>
    <row r="1014" spans="1:15" ht="20" customHeight="1">
      <c r="A1014" s="22" t="str">
        <f t="shared" si="153"/>
        <v/>
      </c>
      <c r="B1014" s="23" t="str">
        <f>IF($E1014="","",328)</f>
        <v/>
      </c>
      <c r="C1014" s="24" t="str">
        <f>IF($E1014="","",Inputs!$B$9+(327*Inputs!$B$21))</f>
        <v/>
      </c>
      <c r="D1014" s="23" t="str">
        <f t="shared" si="154"/>
        <v/>
      </c>
      <c r="E1014" s="25" t="str">
        <f t="shared" si="155"/>
        <v/>
      </c>
      <c r="F1014" s="25" t="str">
        <f>IF($E1014="","",ROUND(MIN(Comparison!$D$5,MAX(0,$E1014+$H1014)),2))</f>
        <v/>
      </c>
      <c r="G1014" s="25" t="str">
        <f>IF($E1014="","",ROUND(MIN(Inputs!$B$10,MAX(0,$E1014+$H1014-$F1014)),2))</f>
        <v/>
      </c>
      <c r="H1014" s="25" t="str">
        <f>IF($E1014="","",ROUND(IF(Inputs!$B$12="Daily Simple Interest",$E1014*Inputs!$B$6/Inputs!$B$17*$D1014,$E1014*Inputs!$B$6/Inputs!$B$20),2))</f>
        <v/>
      </c>
      <c r="I1014" s="25" t="str">
        <f t="shared" si="147"/>
        <v/>
      </c>
      <c r="J1014" s="25" t="str">
        <f>IF($E1014="","",IF($F1014+$G1014&gt;0,Inputs!$B$11,0))</f>
        <v/>
      </c>
      <c r="K1014" s="25" t="str">
        <f t="shared" si="148"/>
        <v/>
      </c>
      <c r="L1014" s="25" t="str">
        <f t="shared" si="149"/>
        <v/>
      </c>
      <c r="M1014" s="25" t="str">
        <f t="shared" si="150"/>
        <v/>
      </c>
      <c r="N1014" s="84" t="str">
        <f t="shared" si="151"/>
        <v/>
      </c>
      <c r="O1014" s="23" t="str">
        <f t="shared" si="152"/>
        <v/>
      </c>
    </row>
    <row r="1015" spans="1:15" ht="20" customHeight="1">
      <c r="A1015" s="22" t="str">
        <f t="shared" si="153"/>
        <v/>
      </c>
      <c r="B1015" s="23" t="str">
        <f>IF($E1015="","",329)</f>
        <v/>
      </c>
      <c r="C1015" s="24" t="str">
        <f>IF($E1015="","",Inputs!$B$9+(328*Inputs!$B$21))</f>
        <v/>
      </c>
      <c r="D1015" s="23" t="str">
        <f t="shared" si="154"/>
        <v/>
      </c>
      <c r="E1015" s="25" t="str">
        <f t="shared" si="155"/>
        <v/>
      </c>
      <c r="F1015" s="25" t="str">
        <f>IF($E1015="","",ROUND(MIN(Comparison!$D$5,MAX(0,$E1015+$H1015)),2))</f>
        <v/>
      </c>
      <c r="G1015" s="25" t="str">
        <f>IF($E1015="","",ROUND(MIN(Inputs!$B$10,MAX(0,$E1015+$H1015-$F1015)),2))</f>
        <v/>
      </c>
      <c r="H1015" s="25" t="str">
        <f>IF($E1015="","",ROUND(IF(Inputs!$B$12="Daily Simple Interest",$E1015*Inputs!$B$6/Inputs!$B$17*$D1015,$E1015*Inputs!$B$6/Inputs!$B$20),2))</f>
        <v/>
      </c>
      <c r="I1015" s="25" t="str">
        <f t="shared" si="147"/>
        <v/>
      </c>
      <c r="J1015" s="25" t="str">
        <f>IF($E1015="","",IF($F1015+$G1015&gt;0,Inputs!$B$11,0))</f>
        <v/>
      </c>
      <c r="K1015" s="25" t="str">
        <f t="shared" si="148"/>
        <v/>
      </c>
      <c r="L1015" s="25" t="str">
        <f t="shared" si="149"/>
        <v/>
      </c>
      <c r="M1015" s="25" t="str">
        <f t="shared" si="150"/>
        <v/>
      </c>
      <c r="N1015" s="84" t="str">
        <f t="shared" si="151"/>
        <v/>
      </c>
      <c r="O1015" s="23" t="str">
        <f t="shared" si="152"/>
        <v/>
      </c>
    </row>
    <row r="1016" spans="1:15" ht="20" customHeight="1">
      <c r="A1016" s="22" t="str">
        <f t="shared" si="153"/>
        <v/>
      </c>
      <c r="B1016" s="23" t="str">
        <f>IF($E1016="","",330)</f>
        <v/>
      </c>
      <c r="C1016" s="24" t="str">
        <f>IF($E1016="","",Inputs!$B$9+(329*Inputs!$B$21))</f>
        <v/>
      </c>
      <c r="D1016" s="23" t="str">
        <f t="shared" si="154"/>
        <v/>
      </c>
      <c r="E1016" s="25" t="str">
        <f t="shared" si="155"/>
        <v/>
      </c>
      <c r="F1016" s="25" t="str">
        <f>IF($E1016="","",ROUND(MIN(Comparison!$D$5,MAX(0,$E1016+$H1016)),2))</f>
        <v/>
      </c>
      <c r="G1016" s="25" t="str">
        <f>IF($E1016="","",ROUND(MIN(Inputs!$B$10,MAX(0,$E1016+$H1016-$F1016)),2))</f>
        <v/>
      </c>
      <c r="H1016" s="25" t="str">
        <f>IF($E1016="","",ROUND(IF(Inputs!$B$12="Daily Simple Interest",$E1016*Inputs!$B$6/Inputs!$B$17*$D1016,$E1016*Inputs!$B$6/Inputs!$B$20),2))</f>
        <v/>
      </c>
      <c r="I1016" s="25" t="str">
        <f t="shared" si="147"/>
        <v/>
      </c>
      <c r="J1016" s="25" t="str">
        <f>IF($E1016="","",IF($F1016+$G1016&gt;0,Inputs!$B$11,0))</f>
        <v/>
      </c>
      <c r="K1016" s="25" t="str">
        <f t="shared" si="148"/>
        <v/>
      </c>
      <c r="L1016" s="25" t="str">
        <f t="shared" si="149"/>
        <v/>
      </c>
      <c r="M1016" s="25" t="str">
        <f t="shared" si="150"/>
        <v/>
      </c>
      <c r="N1016" s="84" t="str">
        <f t="shared" si="151"/>
        <v/>
      </c>
      <c r="O1016" s="23" t="str">
        <f t="shared" si="152"/>
        <v/>
      </c>
    </row>
    <row r="1017" spans="1:15" ht="20" customHeight="1">
      <c r="A1017" s="22" t="str">
        <f t="shared" si="153"/>
        <v/>
      </c>
      <c r="B1017" s="23" t="str">
        <f>IF($E1017="","",331)</f>
        <v/>
      </c>
      <c r="C1017" s="24" t="str">
        <f>IF($E1017="","",Inputs!$B$9+(330*Inputs!$B$21))</f>
        <v/>
      </c>
      <c r="D1017" s="23" t="str">
        <f t="shared" si="154"/>
        <v/>
      </c>
      <c r="E1017" s="25" t="str">
        <f t="shared" si="155"/>
        <v/>
      </c>
      <c r="F1017" s="25" t="str">
        <f>IF($E1017="","",ROUND(MIN(Comparison!$D$5,MAX(0,$E1017+$H1017)),2))</f>
        <v/>
      </c>
      <c r="G1017" s="25" t="str">
        <f>IF($E1017="","",ROUND(MIN(Inputs!$B$10,MAX(0,$E1017+$H1017-$F1017)),2))</f>
        <v/>
      </c>
      <c r="H1017" s="25" t="str">
        <f>IF($E1017="","",ROUND(IF(Inputs!$B$12="Daily Simple Interest",$E1017*Inputs!$B$6/Inputs!$B$17*$D1017,$E1017*Inputs!$B$6/Inputs!$B$20),2))</f>
        <v/>
      </c>
      <c r="I1017" s="25" t="str">
        <f t="shared" si="147"/>
        <v/>
      </c>
      <c r="J1017" s="25" t="str">
        <f>IF($E1017="","",IF($F1017+$G1017&gt;0,Inputs!$B$11,0))</f>
        <v/>
      </c>
      <c r="K1017" s="25" t="str">
        <f t="shared" si="148"/>
        <v/>
      </c>
      <c r="L1017" s="25" t="str">
        <f t="shared" si="149"/>
        <v/>
      </c>
      <c r="M1017" s="25" t="str">
        <f t="shared" si="150"/>
        <v/>
      </c>
      <c r="N1017" s="84" t="str">
        <f t="shared" si="151"/>
        <v/>
      </c>
      <c r="O1017" s="23" t="str">
        <f t="shared" si="152"/>
        <v/>
      </c>
    </row>
    <row r="1018" spans="1:15" ht="20" customHeight="1">
      <c r="A1018" s="22" t="str">
        <f t="shared" si="153"/>
        <v/>
      </c>
      <c r="B1018" s="23" t="str">
        <f>IF($E1018="","",332)</f>
        <v/>
      </c>
      <c r="C1018" s="24" t="str">
        <f>IF($E1018="","",Inputs!$B$9+(331*Inputs!$B$21))</f>
        <v/>
      </c>
      <c r="D1018" s="23" t="str">
        <f t="shared" si="154"/>
        <v/>
      </c>
      <c r="E1018" s="25" t="str">
        <f t="shared" si="155"/>
        <v/>
      </c>
      <c r="F1018" s="25" t="str">
        <f>IF($E1018="","",ROUND(MIN(Comparison!$D$5,MAX(0,$E1018+$H1018)),2))</f>
        <v/>
      </c>
      <c r="G1018" s="25" t="str">
        <f>IF($E1018="","",ROUND(MIN(Inputs!$B$10,MAX(0,$E1018+$H1018-$F1018)),2))</f>
        <v/>
      </c>
      <c r="H1018" s="25" t="str">
        <f>IF($E1018="","",ROUND(IF(Inputs!$B$12="Daily Simple Interest",$E1018*Inputs!$B$6/Inputs!$B$17*$D1018,$E1018*Inputs!$B$6/Inputs!$B$20),2))</f>
        <v/>
      </c>
      <c r="I1018" s="25" t="str">
        <f t="shared" si="147"/>
        <v/>
      </c>
      <c r="J1018" s="25" t="str">
        <f>IF($E1018="","",IF($F1018+$G1018&gt;0,Inputs!$B$11,0))</f>
        <v/>
      </c>
      <c r="K1018" s="25" t="str">
        <f t="shared" si="148"/>
        <v/>
      </c>
      <c r="L1018" s="25" t="str">
        <f t="shared" si="149"/>
        <v/>
      </c>
      <c r="M1018" s="25" t="str">
        <f t="shared" si="150"/>
        <v/>
      </c>
      <c r="N1018" s="84" t="str">
        <f t="shared" si="151"/>
        <v/>
      </c>
      <c r="O1018" s="23" t="str">
        <f t="shared" si="152"/>
        <v/>
      </c>
    </row>
    <row r="1019" spans="1:15" ht="20" customHeight="1">
      <c r="A1019" s="22" t="str">
        <f t="shared" si="153"/>
        <v/>
      </c>
      <c r="B1019" s="23" t="str">
        <f>IF($E1019="","",333)</f>
        <v/>
      </c>
      <c r="C1019" s="24" t="str">
        <f>IF($E1019="","",Inputs!$B$9+(332*Inputs!$B$21))</f>
        <v/>
      </c>
      <c r="D1019" s="23" t="str">
        <f t="shared" si="154"/>
        <v/>
      </c>
      <c r="E1019" s="25" t="str">
        <f t="shared" si="155"/>
        <v/>
      </c>
      <c r="F1019" s="25" t="str">
        <f>IF($E1019="","",ROUND(MIN(Comparison!$D$5,MAX(0,$E1019+$H1019)),2))</f>
        <v/>
      </c>
      <c r="G1019" s="25" t="str">
        <f>IF($E1019="","",ROUND(MIN(Inputs!$B$10,MAX(0,$E1019+$H1019-$F1019)),2))</f>
        <v/>
      </c>
      <c r="H1019" s="25" t="str">
        <f>IF($E1019="","",ROUND(IF(Inputs!$B$12="Daily Simple Interest",$E1019*Inputs!$B$6/Inputs!$B$17*$D1019,$E1019*Inputs!$B$6/Inputs!$B$20),2))</f>
        <v/>
      </c>
      <c r="I1019" s="25" t="str">
        <f t="shared" si="147"/>
        <v/>
      </c>
      <c r="J1019" s="25" t="str">
        <f>IF($E1019="","",IF($F1019+$G1019&gt;0,Inputs!$B$11,0))</f>
        <v/>
      </c>
      <c r="K1019" s="25" t="str">
        <f t="shared" si="148"/>
        <v/>
      </c>
      <c r="L1019" s="25" t="str">
        <f t="shared" si="149"/>
        <v/>
      </c>
      <c r="M1019" s="25" t="str">
        <f t="shared" si="150"/>
        <v/>
      </c>
      <c r="N1019" s="84" t="str">
        <f t="shared" si="151"/>
        <v/>
      </c>
      <c r="O1019" s="23" t="str">
        <f t="shared" si="152"/>
        <v/>
      </c>
    </row>
    <row r="1020" spans="1:15" ht="20" customHeight="1">
      <c r="A1020" s="22" t="str">
        <f t="shared" si="153"/>
        <v/>
      </c>
      <c r="B1020" s="23" t="str">
        <f>IF($E1020="","",334)</f>
        <v/>
      </c>
      <c r="C1020" s="24" t="str">
        <f>IF($E1020="","",Inputs!$B$9+(333*Inputs!$B$21))</f>
        <v/>
      </c>
      <c r="D1020" s="23" t="str">
        <f t="shared" si="154"/>
        <v/>
      </c>
      <c r="E1020" s="25" t="str">
        <f t="shared" si="155"/>
        <v/>
      </c>
      <c r="F1020" s="25" t="str">
        <f>IF($E1020="","",ROUND(MIN(Comparison!$D$5,MAX(0,$E1020+$H1020)),2))</f>
        <v/>
      </c>
      <c r="G1020" s="25" t="str">
        <f>IF($E1020="","",ROUND(MIN(Inputs!$B$10,MAX(0,$E1020+$H1020-$F1020)),2))</f>
        <v/>
      </c>
      <c r="H1020" s="25" t="str">
        <f>IF($E1020="","",ROUND(IF(Inputs!$B$12="Daily Simple Interest",$E1020*Inputs!$B$6/Inputs!$B$17*$D1020,$E1020*Inputs!$B$6/Inputs!$B$20),2))</f>
        <v/>
      </c>
      <c r="I1020" s="25" t="str">
        <f t="shared" si="147"/>
        <v/>
      </c>
      <c r="J1020" s="25" t="str">
        <f>IF($E1020="","",IF($F1020+$G1020&gt;0,Inputs!$B$11,0))</f>
        <v/>
      </c>
      <c r="K1020" s="25" t="str">
        <f t="shared" si="148"/>
        <v/>
      </c>
      <c r="L1020" s="25" t="str">
        <f t="shared" si="149"/>
        <v/>
      </c>
      <c r="M1020" s="25" t="str">
        <f t="shared" si="150"/>
        <v/>
      </c>
      <c r="N1020" s="84" t="str">
        <f t="shared" si="151"/>
        <v/>
      </c>
      <c r="O1020" s="23" t="str">
        <f t="shared" si="152"/>
        <v/>
      </c>
    </row>
    <row r="1021" spans="1:15" ht="20" customHeight="1">
      <c r="A1021" s="22" t="str">
        <f t="shared" si="153"/>
        <v/>
      </c>
      <c r="B1021" s="23" t="str">
        <f>IF($E1021="","",335)</f>
        <v/>
      </c>
      <c r="C1021" s="24" t="str">
        <f>IF($E1021="","",Inputs!$B$9+(334*Inputs!$B$21))</f>
        <v/>
      </c>
      <c r="D1021" s="23" t="str">
        <f t="shared" si="154"/>
        <v/>
      </c>
      <c r="E1021" s="25" t="str">
        <f t="shared" si="155"/>
        <v/>
      </c>
      <c r="F1021" s="25" t="str">
        <f>IF($E1021="","",ROUND(MIN(Comparison!$D$5,MAX(0,$E1021+$H1021)),2))</f>
        <v/>
      </c>
      <c r="G1021" s="25" t="str">
        <f>IF($E1021="","",ROUND(MIN(Inputs!$B$10,MAX(0,$E1021+$H1021-$F1021)),2))</f>
        <v/>
      </c>
      <c r="H1021" s="25" t="str">
        <f>IF($E1021="","",ROUND(IF(Inputs!$B$12="Daily Simple Interest",$E1021*Inputs!$B$6/Inputs!$B$17*$D1021,$E1021*Inputs!$B$6/Inputs!$B$20),2))</f>
        <v/>
      </c>
      <c r="I1021" s="25" t="str">
        <f t="shared" si="147"/>
        <v/>
      </c>
      <c r="J1021" s="25" t="str">
        <f>IF($E1021="","",IF($F1021+$G1021&gt;0,Inputs!$B$11,0))</f>
        <v/>
      </c>
      <c r="K1021" s="25" t="str">
        <f t="shared" si="148"/>
        <v/>
      </c>
      <c r="L1021" s="25" t="str">
        <f t="shared" si="149"/>
        <v/>
      </c>
      <c r="M1021" s="25" t="str">
        <f t="shared" si="150"/>
        <v/>
      </c>
      <c r="N1021" s="84" t="str">
        <f t="shared" si="151"/>
        <v/>
      </c>
      <c r="O1021" s="23" t="str">
        <f t="shared" si="152"/>
        <v/>
      </c>
    </row>
    <row r="1022" spans="1:15" ht="20" customHeight="1">
      <c r="A1022" s="22" t="str">
        <f t="shared" si="153"/>
        <v/>
      </c>
      <c r="B1022" s="23" t="str">
        <f>IF($E1022="","",336)</f>
        <v/>
      </c>
      <c r="C1022" s="24" t="str">
        <f>IF($E1022="","",Inputs!$B$9+(335*Inputs!$B$21))</f>
        <v/>
      </c>
      <c r="D1022" s="23" t="str">
        <f t="shared" si="154"/>
        <v/>
      </c>
      <c r="E1022" s="25" t="str">
        <f t="shared" si="155"/>
        <v/>
      </c>
      <c r="F1022" s="25" t="str">
        <f>IF($E1022="","",ROUND(MIN(Comparison!$D$5,MAX(0,$E1022+$H1022)),2))</f>
        <v/>
      </c>
      <c r="G1022" s="25" t="str">
        <f>IF($E1022="","",ROUND(MIN(Inputs!$B$10,MAX(0,$E1022+$H1022-$F1022)),2))</f>
        <v/>
      </c>
      <c r="H1022" s="25" t="str">
        <f>IF($E1022="","",ROUND(IF(Inputs!$B$12="Daily Simple Interest",$E1022*Inputs!$B$6/Inputs!$B$17*$D1022,$E1022*Inputs!$B$6/Inputs!$B$20),2))</f>
        <v/>
      </c>
      <c r="I1022" s="25" t="str">
        <f t="shared" si="147"/>
        <v/>
      </c>
      <c r="J1022" s="25" t="str">
        <f>IF($E1022="","",IF($F1022+$G1022&gt;0,Inputs!$B$11,0))</f>
        <v/>
      </c>
      <c r="K1022" s="25" t="str">
        <f t="shared" si="148"/>
        <v/>
      </c>
      <c r="L1022" s="25" t="str">
        <f t="shared" si="149"/>
        <v/>
      </c>
      <c r="M1022" s="25" t="str">
        <f t="shared" si="150"/>
        <v/>
      </c>
      <c r="N1022" s="84" t="str">
        <f t="shared" si="151"/>
        <v/>
      </c>
      <c r="O1022" s="23" t="str">
        <f t="shared" si="152"/>
        <v/>
      </c>
    </row>
    <row r="1023" spans="1:15" ht="20" customHeight="1">
      <c r="A1023" s="22" t="str">
        <f t="shared" si="153"/>
        <v/>
      </c>
      <c r="B1023" s="23" t="str">
        <f>IF($E1023="","",337)</f>
        <v/>
      </c>
      <c r="C1023" s="24" t="str">
        <f>IF($E1023="","",Inputs!$B$9+(336*Inputs!$B$21))</f>
        <v/>
      </c>
      <c r="D1023" s="23" t="str">
        <f t="shared" si="154"/>
        <v/>
      </c>
      <c r="E1023" s="25" t="str">
        <f t="shared" si="155"/>
        <v/>
      </c>
      <c r="F1023" s="25" t="str">
        <f>IF($E1023="","",ROUND(MIN(Comparison!$D$5,MAX(0,$E1023+$H1023)),2))</f>
        <v/>
      </c>
      <c r="G1023" s="25" t="str">
        <f>IF($E1023="","",ROUND(MIN(Inputs!$B$10,MAX(0,$E1023+$H1023-$F1023)),2))</f>
        <v/>
      </c>
      <c r="H1023" s="25" t="str">
        <f>IF($E1023="","",ROUND(IF(Inputs!$B$12="Daily Simple Interest",$E1023*Inputs!$B$6/Inputs!$B$17*$D1023,$E1023*Inputs!$B$6/Inputs!$B$20),2))</f>
        <v/>
      </c>
      <c r="I1023" s="25" t="str">
        <f t="shared" si="147"/>
        <v/>
      </c>
      <c r="J1023" s="25" t="str">
        <f>IF($E1023="","",IF($F1023+$G1023&gt;0,Inputs!$B$11,0))</f>
        <v/>
      </c>
      <c r="K1023" s="25" t="str">
        <f t="shared" si="148"/>
        <v/>
      </c>
      <c r="L1023" s="25" t="str">
        <f t="shared" si="149"/>
        <v/>
      </c>
      <c r="M1023" s="25" t="str">
        <f t="shared" si="150"/>
        <v/>
      </c>
      <c r="N1023" s="84" t="str">
        <f t="shared" si="151"/>
        <v/>
      </c>
      <c r="O1023" s="23" t="str">
        <f t="shared" si="152"/>
        <v/>
      </c>
    </row>
    <row r="1024" spans="1:15" ht="20" customHeight="1">
      <c r="A1024" s="22" t="str">
        <f t="shared" si="153"/>
        <v/>
      </c>
      <c r="B1024" s="23" t="str">
        <f>IF($E1024="","",338)</f>
        <v/>
      </c>
      <c r="C1024" s="24" t="str">
        <f>IF($E1024="","",Inputs!$B$9+(337*Inputs!$B$21))</f>
        <v/>
      </c>
      <c r="D1024" s="23" t="str">
        <f t="shared" si="154"/>
        <v/>
      </c>
      <c r="E1024" s="25" t="str">
        <f t="shared" si="155"/>
        <v/>
      </c>
      <c r="F1024" s="25" t="str">
        <f>IF($E1024="","",ROUND(MIN(Comparison!$D$5,MAX(0,$E1024+$H1024)),2))</f>
        <v/>
      </c>
      <c r="G1024" s="25" t="str">
        <f>IF($E1024="","",ROUND(MIN(Inputs!$B$10,MAX(0,$E1024+$H1024-$F1024)),2))</f>
        <v/>
      </c>
      <c r="H1024" s="25" t="str">
        <f>IF($E1024="","",ROUND(IF(Inputs!$B$12="Daily Simple Interest",$E1024*Inputs!$B$6/Inputs!$B$17*$D1024,$E1024*Inputs!$B$6/Inputs!$B$20),2))</f>
        <v/>
      </c>
      <c r="I1024" s="25" t="str">
        <f t="shared" si="147"/>
        <v/>
      </c>
      <c r="J1024" s="25" t="str">
        <f>IF($E1024="","",IF($F1024+$G1024&gt;0,Inputs!$B$11,0))</f>
        <v/>
      </c>
      <c r="K1024" s="25" t="str">
        <f t="shared" si="148"/>
        <v/>
      </c>
      <c r="L1024" s="25" t="str">
        <f t="shared" si="149"/>
        <v/>
      </c>
      <c r="M1024" s="25" t="str">
        <f t="shared" si="150"/>
        <v/>
      </c>
      <c r="N1024" s="84" t="str">
        <f t="shared" si="151"/>
        <v/>
      </c>
      <c r="O1024" s="23" t="str">
        <f t="shared" si="152"/>
        <v/>
      </c>
    </row>
    <row r="1025" spans="1:15" ht="20" customHeight="1">
      <c r="A1025" s="22" t="str">
        <f t="shared" si="153"/>
        <v/>
      </c>
      <c r="B1025" s="23" t="str">
        <f>IF($E1025="","",339)</f>
        <v/>
      </c>
      <c r="C1025" s="24" t="str">
        <f>IF($E1025="","",Inputs!$B$9+(338*Inputs!$B$21))</f>
        <v/>
      </c>
      <c r="D1025" s="23" t="str">
        <f t="shared" si="154"/>
        <v/>
      </c>
      <c r="E1025" s="25" t="str">
        <f t="shared" si="155"/>
        <v/>
      </c>
      <c r="F1025" s="25" t="str">
        <f>IF($E1025="","",ROUND(MIN(Comparison!$D$5,MAX(0,$E1025+$H1025)),2))</f>
        <v/>
      </c>
      <c r="G1025" s="25" t="str">
        <f>IF($E1025="","",ROUND(MIN(Inputs!$B$10,MAX(0,$E1025+$H1025-$F1025)),2))</f>
        <v/>
      </c>
      <c r="H1025" s="25" t="str">
        <f>IF($E1025="","",ROUND(IF(Inputs!$B$12="Daily Simple Interest",$E1025*Inputs!$B$6/Inputs!$B$17*$D1025,$E1025*Inputs!$B$6/Inputs!$B$20),2))</f>
        <v/>
      </c>
      <c r="I1025" s="25" t="str">
        <f t="shared" si="147"/>
        <v/>
      </c>
      <c r="J1025" s="25" t="str">
        <f>IF($E1025="","",IF($F1025+$G1025&gt;0,Inputs!$B$11,0))</f>
        <v/>
      </c>
      <c r="K1025" s="25" t="str">
        <f t="shared" si="148"/>
        <v/>
      </c>
      <c r="L1025" s="25" t="str">
        <f t="shared" si="149"/>
        <v/>
      </c>
      <c r="M1025" s="25" t="str">
        <f t="shared" si="150"/>
        <v/>
      </c>
      <c r="N1025" s="84" t="str">
        <f t="shared" si="151"/>
        <v/>
      </c>
      <c r="O1025" s="23" t="str">
        <f t="shared" si="152"/>
        <v/>
      </c>
    </row>
    <row r="1026" spans="1:15" ht="20" customHeight="1">
      <c r="A1026" s="22" t="str">
        <f t="shared" si="153"/>
        <v/>
      </c>
      <c r="B1026" s="23" t="str">
        <f>IF($E1026="","",340)</f>
        <v/>
      </c>
      <c r="C1026" s="24" t="str">
        <f>IF($E1026="","",Inputs!$B$9+(339*Inputs!$B$21))</f>
        <v/>
      </c>
      <c r="D1026" s="23" t="str">
        <f t="shared" si="154"/>
        <v/>
      </c>
      <c r="E1026" s="25" t="str">
        <f t="shared" si="155"/>
        <v/>
      </c>
      <c r="F1026" s="25" t="str">
        <f>IF($E1026="","",ROUND(MIN(Comparison!$D$5,MAX(0,$E1026+$H1026)),2))</f>
        <v/>
      </c>
      <c r="G1026" s="25" t="str">
        <f>IF($E1026="","",ROUND(MIN(Inputs!$B$10,MAX(0,$E1026+$H1026-$F1026)),2))</f>
        <v/>
      </c>
      <c r="H1026" s="25" t="str">
        <f>IF($E1026="","",ROUND(IF(Inputs!$B$12="Daily Simple Interest",$E1026*Inputs!$B$6/Inputs!$B$17*$D1026,$E1026*Inputs!$B$6/Inputs!$B$20),2))</f>
        <v/>
      </c>
      <c r="I1026" s="25" t="str">
        <f t="shared" si="147"/>
        <v/>
      </c>
      <c r="J1026" s="25" t="str">
        <f>IF($E1026="","",IF($F1026+$G1026&gt;0,Inputs!$B$11,0))</f>
        <v/>
      </c>
      <c r="K1026" s="25" t="str">
        <f t="shared" si="148"/>
        <v/>
      </c>
      <c r="L1026" s="25" t="str">
        <f t="shared" si="149"/>
        <v/>
      </c>
      <c r="M1026" s="25" t="str">
        <f t="shared" si="150"/>
        <v/>
      </c>
      <c r="N1026" s="84" t="str">
        <f t="shared" si="151"/>
        <v/>
      </c>
      <c r="O1026" s="23" t="str">
        <f t="shared" si="152"/>
        <v/>
      </c>
    </row>
    <row r="1027" spans="1:15" ht="20" customHeight="1">
      <c r="A1027" s="30" t="str">
        <f t="shared" ref="A1027:A1090" si="156">IF($E1027="","","Biweekly Held by Lender")</f>
        <v>Biweekly Held by Lender</v>
      </c>
      <c r="B1027" s="31">
        <f>IF($E1027="","",1)</f>
        <v>1</v>
      </c>
      <c r="C1027" s="32">
        <f>Inputs!$B$9</f>
        <v>46292</v>
      </c>
      <c r="D1027" s="31">
        <f>IF($E1027="","",$C1027-Inputs!$B$8)</f>
        <v>31</v>
      </c>
      <c r="E1027" s="33">
        <f>Inputs!$B$5</f>
        <v>35000</v>
      </c>
      <c r="F1027" s="33">
        <f>IF($E1027="","",ROUND(MIN(Comparison!$E$5,MAX(0,$E1027+$H1027)),2))</f>
        <v>493.81</v>
      </c>
      <c r="G1027" s="33">
        <f>IF($E1027="","",ROUND(MIN(Inputs!$B$10,MAX(0,$E1027+$H1027-$F1027)),2))</f>
        <v>0</v>
      </c>
      <c r="H1027" s="33">
        <f>IF($E1027="","",ROUND(IF(Inputs!$B$12="Daily Simple Interest",$E1027*Inputs!$B$6/Inputs!$B$17*$D1027,$E1027*Inputs!$B$6/Inputs!$B$20),2))</f>
        <v>215.51</v>
      </c>
      <c r="I1027" s="33">
        <f>IF($E1027="","",0)</f>
        <v>0</v>
      </c>
      <c r="J1027" s="33">
        <f>IF($E1027="","",IF($F1027+$G1027&gt;0,Inputs!$B$11,0))</f>
        <v>0</v>
      </c>
      <c r="K1027" s="33">
        <f>IF($E1027="","",$E1027)</f>
        <v>35000</v>
      </c>
      <c r="L1027" s="33">
        <f>IF($E1027="","",0)</f>
        <v>0</v>
      </c>
      <c r="M1027" s="33">
        <f>IF($E1027="","",$F1027+$G1027)</f>
        <v>493.81</v>
      </c>
      <c r="N1027" s="83" t="str">
        <f>IF($E1027="","","HELD")</f>
        <v>HELD</v>
      </c>
      <c r="O1027" s="31">
        <f t="shared" si="152"/>
        <v>1</v>
      </c>
    </row>
    <row r="1028" spans="1:15" ht="20" customHeight="1">
      <c r="A1028" s="22" t="str">
        <f t="shared" si="156"/>
        <v>Biweekly Held by Lender</v>
      </c>
      <c r="B1028" s="23">
        <f>IF($E1028="","",2)</f>
        <v>2</v>
      </c>
      <c r="C1028" s="24">
        <f>IF($E1028="","",Inputs!$B$9+(1*Inputs!$B$21))</f>
        <v>46306</v>
      </c>
      <c r="D1028" s="23">
        <f t="shared" ref="D1028:D1091" si="157">IF($E1028="","",$C1028-$C1027)</f>
        <v>14</v>
      </c>
      <c r="E1028" s="25">
        <f t="shared" ref="E1028:E1091" si="158">IF($K1027&gt;0.005,$K1027,"")</f>
        <v>35000</v>
      </c>
      <c r="F1028" s="25">
        <f>IF($E1028="","",ROUND(MIN(Comparison!$E$5,MAX(0,$E1028+$H1027+$H1028-$M1027)),2))</f>
        <v>493.81</v>
      </c>
      <c r="G1028" s="25">
        <f>IF($E1028="","",ROUND(MIN(Inputs!$B$10,MAX(0,$E1028+$H1027+$H1028-$M1027-$F1028)),2))</f>
        <v>0</v>
      </c>
      <c r="H1028" s="25">
        <f>IF($E1028="","",ROUND(IF(Inputs!$B$12="Daily Simple Interest",$E1028*Inputs!$B$6/Inputs!$B$17*$D1028,$E1028*Inputs!$B$6/Inputs!$B$20),2))</f>
        <v>97.33</v>
      </c>
      <c r="I1028" s="25">
        <f>IF($E1028="","",ROUND($L1028-$H1027-$H1028,2))</f>
        <v>674.78</v>
      </c>
      <c r="J1028" s="25">
        <f>IF($E1028="","",IF($F1028+$G1028&gt;0,Inputs!$B$11,0))</f>
        <v>0</v>
      </c>
      <c r="K1028" s="25">
        <f>IF($E1028="","",ROUND(MAX(0,$E1028-$I1028),2))</f>
        <v>34325.22</v>
      </c>
      <c r="L1028" s="25">
        <f>IF($E1028="","",$M1027+$F1028+$G1028)</f>
        <v>987.62</v>
      </c>
      <c r="M1028" s="25">
        <f>IF($E1028="","",0)</f>
        <v>0</v>
      </c>
      <c r="N1028" s="84" t="str">
        <f>IF($E1028="","",IF($K1028&lt;=0.005,"PAID OFF","POSTED"))</f>
        <v>POSTED</v>
      </c>
      <c r="O1028" s="23">
        <f t="shared" si="152"/>
        <v>1</v>
      </c>
    </row>
    <row r="1029" spans="1:15" ht="20" customHeight="1">
      <c r="A1029" s="22" t="str">
        <f t="shared" si="156"/>
        <v>Biweekly Held by Lender</v>
      </c>
      <c r="B1029" s="23">
        <f>IF($E1029="","",3)</f>
        <v>3</v>
      </c>
      <c r="C1029" s="24">
        <f>IF($E1029="","",Inputs!$B$9+(2*Inputs!$B$21))</f>
        <v>46320</v>
      </c>
      <c r="D1029" s="23">
        <f t="shared" si="157"/>
        <v>14</v>
      </c>
      <c r="E1029" s="25">
        <f t="shared" si="158"/>
        <v>34325.22</v>
      </c>
      <c r="F1029" s="25">
        <f>IF($E1029="","",ROUND(MIN(Comparison!$E$5,MAX(0,$E1029+$H1029)),2))</f>
        <v>493.81</v>
      </c>
      <c r="G1029" s="25">
        <f>IF($E1029="","",ROUND(MIN(Inputs!$B$10,MAX(0,$E1029+$H1029-$F1029)),2))</f>
        <v>0</v>
      </c>
      <c r="H1029" s="25">
        <f>IF($E1029="","",ROUND(IF(Inputs!$B$12="Daily Simple Interest",$E1029*Inputs!$B$6/Inputs!$B$17*$D1029,$E1029*Inputs!$B$6/Inputs!$B$20),2))</f>
        <v>95.45</v>
      </c>
      <c r="I1029" s="25">
        <f>IF($E1029="","",0)</f>
        <v>0</v>
      </c>
      <c r="J1029" s="25">
        <f>IF($E1029="","",IF($F1029+$G1029&gt;0,Inputs!$B$11,0))</f>
        <v>0</v>
      </c>
      <c r="K1029" s="25">
        <f>IF($E1029="","",$E1029)</f>
        <v>34325.22</v>
      </c>
      <c r="L1029" s="25">
        <f>IF($E1029="","",0)</f>
        <v>0</v>
      </c>
      <c r="M1029" s="25">
        <f>IF($E1029="","",$F1029+$G1029)</f>
        <v>493.81</v>
      </c>
      <c r="N1029" s="84" t="str">
        <f>IF($E1029="","","HELD")</f>
        <v>HELD</v>
      </c>
      <c r="O1029" s="23">
        <f t="shared" si="152"/>
        <v>1</v>
      </c>
    </row>
    <row r="1030" spans="1:15" ht="20" customHeight="1">
      <c r="A1030" s="22" t="str">
        <f t="shared" si="156"/>
        <v>Biweekly Held by Lender</v>
      </c>
      <c r="B1030" s="23">
        <f>IF($E1030="","",4)</f>
        <v>4</v>
      </c>
      <c r="C1030" s="24">
        <f>IF($E1030="","",Inputs!$B$9+(3*Inputs!$B$21))</f>
        <v>46334</v>
      </c>
      <c r="D1030" s="23">
        <f t="shared" si="157"/>
        <v>14</v>
      </c>
      <c r="E1030" s="25">
        <f t="shared" si="158"/>
        <v>34325.22</v>
      </c>
      <c r="F1030" s="25">
        <f>IF($E1030="","",ROUND(MIN(Comparison!$E$5,MAX(0,$E1030+$H1029+$H1030-$M1029)),2))</f>
        <v>493.81</v>
      </c>
      <c r="G1030" s="25">
        <f>IF($E1030="","",ROUND(MIN(Inputs!$B$10,MAX(0,$E1030+$H1029+$H1030-$M1029-$F1030)),2))</f>
        <v>0</v>
      </c>
      <c r="H1030" s="25">
        <f>IF($E1030="","",ROUND(IF(Inputs!$B$12="Daily Simple Interest",$E1030*Inputs!$B$6/Inputs!$B$17*$D1030,$E1030*Inputs!$B$6/Inputs!$B$20),2))</f>
        <v>95.45</v>
      </c>
      <c r="I1030" s="25">
        <f>IF($E1030="","",ROUND($L1030-$H1029-$H1030,2))</f>
        <v>796.72</v>
      </c>
      <c r="J1030" s="25">
        <f>IF($E1030="","",IF($F1030+$G1030&gt;0,Inputs!$B$11,0))</f>
        <v>0</v>
      </c>
      <c r="K1030" s="25">
        <f>IF($E1030="","",ROUND(MAX(0,$E1030-$I1030),2))</f>
        <v>33528.5</v>
      </c>
      <c r="L1030" s="25">
        <f>IF($E1030="","",$M1029+$F1030+$G1030)</f>
        <v>987.62</v>
      </c>
      <c r="M1030" s="25">
        <f>IF($E1030="","",0)</f>
        <v>0</v>
      </c>
      <c r="N1030" s="84" t="str">
        <f>IF($E1030="","",IF($K1030&lt;=0.005,"PAID OFF","POSTED"))</f>
        <v>POSTED</v>
      </c>
      <c r="O1030" s="23">
        <f t="shared" si="152"/>
        <v>1</v>
      </c>
    </row>
    <row r="1031" spans="1:15" ht="20" customHeight="1">
      <c r="A1031" s="22" t="str">
        <f t="shared" si="156"/>
        <v>Biweekly Held by Lender</v>
      </c>
      <c r="B1031" s="23">
        <f>IF($E1031="","",5)</f>
        <v>5</v>
      </c>
      <c r="C1031" s="24">
        <f>IF($E1031="","",Inputs!$B$9+(4*Inputs!$B$21))</f>
        <v>46348</v>
      </c>
      <c r="D1031" s="23">
        <f t="shared" si="157"/>
        <v>14</v>
      </c>
      <c r="E1031" s="25">
        <f t="shared" si="158"/>
        <v>33528.5</v>
      </c>
      <c r="F1031" s="25">
        <f>IF($E1031="","",ROUND(MIN(Comparison!$E$5,MAX(0,$E1031+$H1031)),2))</f>
        <v>493.81</v>
      </c>
      <c r="G1031" s="25">
        <f>IF($E1031="","",ROUND(MIN(Inputs!$B$10,MAX(0,$E1031+$H1031-$F1031)),2))</f>
        <v>0</v>
      </c>
      <c r="H1031" s="25">
        <f>IF($E1031="","",ROUND(IF(Inputs!$B$12="Daily Simple Interest",$E1031*Inputs!$B$6/Inputs!$B$17*$D1031,$E1031*Inputs!$B$6/Inputs!$B$20),2))</f>
        <v>93.24</v>
      </c>
      <c r="I1031" s="25">
        <f>IF($E1031="","",0)</f>
        <v>0</v>
      </c>
      <c r="J1031" s="25">
        <f>IF($E1031="","",IF($F1031+$G1031&gt;0,Inputs!$B$11,0))</f>
        <v>0</v>
      </c>
      <c r="K1031" s="25">
        <f>IF($E1031="","",$E1031)</f>
        <v>33528.5</v>
      </c>
      <c r="L1031" s="25">
        <f>IF($E1031="","",0)</f>
        <v>0</v>
      </c>
      <c r="M1031" s="25">
        <f>IF($E1031="","",$F1031+$G1031)</f>
        <v>493.81</v>
      </c>
      <c r="N1031" s="84" t="str">
        <f>IF($E1031="","","HELD")</f>
        <v>HELD</v>
      </c>
      <c r="O1031" s="23">
        <f t="shared" ref="O1031:O1094" si="159">IF($E1031="","",IF($F1031+$G1031&gt;0,1,0))</f>
        <v>1</v>
      </c>
    </row>
    <row r="1032" spans="1:15" ht="20" customHeight="1">
      <c r="A1032" s="22" t="str">
        <f t="shared" si="156"/>
        <v>Biweekly Held by Lender</v>
      </c>
      <c r="B1032" s="23">
        <f>IF($E1032="","",6)</f>
        <v>6</v>
      </c>
      <c r="C1032" s="24">
        <f>IF($E1032="","",Inputs!$B$9+(5*Inputs!$B$21))</f>
        <v>46362</v>
      </c>
      <c r="D1032" s="23">
        <f t="shared" si="157"/>
        <v>14</v>
      </c>
      <c r="E1032" s="25">
        <f t="shared" si="158"/>
        <v>33528.5</v>
      </c>
      <c r="F1032" s="25">
        <f>IF($E1032="","",ROUND(MIN(Comparison!$E$5,MAX(0,$E1032+$H1031+$H1032-$M1031)),2))</f>
        <v>493.81</v>
      </c>
      <c r="G1032" s="25">
        <f>IF($E1032="","",ROUND(MIN(Inputs!$B$10,MAX(0,$E1032+$H1031+$H1032-$M1031-$F1032)),2))</f>
        <v>0</v>
      </c>
      <c r="H1032" s="25">
        <f>IF($E1032="","",ROUND(IF(Inputs!$B$12="Daily Simple Interest",$E1032*Inputs!$B$6/Inputs!$B$17*$D1032,$E1032*Inputs!$B$6/Inputs!$B$20),2))</f>
        <v>93.24</v>
      </c>
      <c r="I1032" s="25">
        <f>IF($E1032="","",ROUND($L1032-$H1031-$H1032,2))</f>
        <v>801.14</v>
      </c>
      <c r="J1032" s="25">
        <f>IF($E1032="","",IF($F1032+$G1032&gt;0,Inputs!$B$11,0))</f>
        <v>0</v>
      </c>
      <c r="K1032" s="25">
        <f>IF($E1032="","",ROUND(MAX(0,$E1032-$I1032),2))</f>
        <v>32727.360000000001</v>
      </c>
      <c r="L1032" s="25">
        <f>IF($E1032="","",$M1031+$F1032+$G1032)</f>
        <v>987.62</v>
      </c>
      <c r="M1032" s="25">
        <f>IF($E1032="","",0)</f>
        <v>0</v>
      </c>
      <c r="N1032" s="84" t="str">
        <f>IF($E1032="","",IF($K1032&lt;=0.005,"PAID OFF","POSTED"))</f>
        <v>POSTED</v>
      </c>
      <c r="O1032" s="23">
        <f t="shared" si="159"/>
        <v>1</v>
      </c>
    </row>
    <row r="1033" spans="1:15" ht="20" customHeight="1">
      <c r="A1033" s="22" t="str">
        <f t="shared" si="156"/>
        <v>Biweekly Held by Lender</v>
      </c>
      <c r="B1033" s="23">
        <f>IF($E1033="","",7)</f>
        <v>7</v>
      </c>
      <c r="C1033" s="24">
        <f>IF($E1033="","",Inputs!$B$9+(6*Inputs!$B$21))</f>
        <v>46376</v>
      </c>
      <c r="D1033" s="23">
        <f t="shared" si="157"/>
        <v>14</v>
      </c>
      <c r="E1033" s="25">
        <f t="shared" si="158"/>
        <v>32727.360000000001</v>
      </c>
      <c r="F1033" s="25">
        <f>IF($E1033="","",ROUND(MIN(Comparison!$E$5,MAX(0,$E1033+$H1033)),2))</f>
        <v>493.81</v>
      </c>
      <c r="G1033" s="25">
        <f>IF($E1033="","",ROUND(MIN(Inputs!$B$10,MAX(0,$E1033+$H1033-$F1033)),2))</f>
        <v>0</v>
      </c>
      <c r="H1033" s="25">
        <f>IF($E1033="","",ROUND(IF(Inputs!$B$12="Daily Simple Interest",$E1033*Inputs!$B$6/Inputs!$B$17*$D1033,$E1033*Inputs!$B$6/Inputs!$B$20),2))</f>
        <v>91.01</v>
      </c>
      <c r="I1033" s="25">
        <f>IF($E1033="","",0)</f>
        <v>0</v>
      </c>
      <c r="J1033" s="25">
        <f>IF($E1033="","",IF($F1033+$G1033&gt;0,Inputs!$B$11,0))</f>
        <v>0</v>
      </c>
      <c r="K1033" s="25">
        <f>IF($E1033="","",$E1033)</f>
        <v>32727.360000000001</v>
      </c>
      <c r="L1033" s="25">
        <f>IF($E1033="","",0)</f>
        <v>0</v>
      </c>
      <c r="M1033" s="25">
        <f>IF($E1033="","",$F1033+$G1033)</f>
        <v>493.81</v>
      </c>
      <c r="N1033" s="84" t="str">
        <f>IF($E1033="","","HELD")</f>
        <v>HELD</v>
      </c>
      <c r="O1033" s="23">
        <f t="shared" si="159"/>
        <v>1</v>
      </c>
    </row>
    <row r="1034" spans="1:15" ht="20" customHeight="1">
      <c r="A1034" s="22" t="str">
        <f t="shared" si="156"/>
        <v>Biweekly Held by Lender</v>
      </c>
      <c r="B1034" s="23">
        <f>IF($E1034="","",8)</f>
        <v>8</v>
      </c>
      <c r="C1034" s="24">
        <f>IF($E1034="","",Inputs!$B$9+(7*Inputs!$B$21))</f>
        <v>46390</v>
      </c>
      <c r="D1034" s="23">
        <f t="shared" si="157"/>
        <v>14</v>
      </c>
      <c r="E1034" s="25">
        <f t="shared" si="158"/>
        <v>32727.360000000001</v>
      </c>
      <c r="F1034" s="25">
        <f>IF($E1034="","",ROUND(MIN(Comparison!$E$5,MAX(0,$E1034+$H1033+$H1034-$M1033)),2))</f>
        <v>493.81</v>
      </c>
      <c r="G1034" s="25">
        <f>IF($E1034="","",ROUND(MIN(Inputs!$B$10,MAX(0,$E1034+$H1033+$H1034-$M1033-$F1034)),2))</f>
        <v>0</v>
      </c>
      <c r="H1034" s="25">
        <f>IF($E1034="","",ROUND(IF(Inputs!$B$12="Daily Simple Interest",$E1034*Inputs!$B$6/Inputs!$B$17*$D1034,$E1034*Inputs!$B$6/Inputs!$B$20),2))</f>
        <v>91.01</v>
      </c>
      <c r="I1034" s="25">
        <f>IF($E1034="","",ROUND($L1034-$H1033-$H1034,2))</f>
        <v>805.6</v>
      </c>
      <c r="J1034" s="25">
        <f>IF($E1034="","",IF($F1034+$G1034&gt;0,Inputs!$B$11,0))</f>
        <v>0</v>
      </c>
      <c r="K1034" s="25">
        <f>IF($E1034="","",ROUND(MAX(0,$E1034-$I1034),2))</f>
        <v>31921.759999999998</v>
      </c>
      <c r="L1034" s="25">
        <f>IF($E1034="","",$M1033+$F1034+$G1034)</f>
        <v>987.62</v>
      </c>
      <c r="M1034" s="25">
        <f>IF($E1034="","",0)</f>
        <v>0</v>
      </c>
      <c r="N1034" s="84" t="str">
        <f>IF($E1034="","",IF($K1034&lt;=0.005,"PAID OFF","POSTED"))</f>
        <v>POSTED</v>
      </c>
      <c r="O1034" s="23">
        <f t="shared" si="159"/>
        <v>1</v>
      </c>
    </row>
    <row r="1035" spans="1:15" ht="20" customHeight="1">
      <c r="A1035" s="22" t="str">
        <f t="shared" si="156"/>
        <v>Biweekly Held by Lender</v>
      </c>
      <c r="B1035" s="23">
        <f>IF($E1035="","",9)</f>
        <v>9</v>
      </c>
      <c r="C1035" s="24">
        <f>IF($E1035="","",Inputs!$B$9+(8*Inputs!$B$21))</f>
        <v>46404</v>
      </c>
      <c r="D1035" s="23">
        <f t="shared" si="157"/>
        <v>14</v>
      </c>
      <c r="E1035" s="25">
        <f t="shared" si="158"/>
        <v>31921.759999999998</v>
      </c>
      <c r="F1035" s="25">
        <f>IF($E1035="","",ROUND(MIN(Comparison!$E$5,MAX(0,$E1035+$H1035)),2))</f>
        <v>493.81</v>
      </c>
      <c r="G1035" s="25">
        <f>IF($E1035="","",ROUND(MIN(Inputs!$B$10,MAX(0,$E1035+$H1035-$F1035)),2))</f>
        <v>0</v>
      </c>
      <c r="H1035" s="25">
        <f>IF($E1035="","",ROUND(IF(Inputs!$B$12="Daily Simple Interest",$E1035*Inputs!$B$6/Inputs!$B$17*$D1035,$E1035*Inputs!$B$6/Inputs!$B$20),2))</f>
        <v>88.77</v>
      </c>
      <c r="I1035" s="25">
        <f>IF($E1035="","",0)</f>
        <v>0</v>
      </c>
      <c r="J1035" s="25">
        <f>IF($E1035="","",IF($F1035+$G1035&gt;0,Inputs!$B$11,0))</f>
        <v>0</v>
      </c>
      <c r="K1035" s="25">
        <f>IF($E1035="","",$E1035)</f>
        <v>31921.759999999998</v>
      </c>
      <c r="L1035" s="25">
        <f>IF($E1035="","",0)</f>
        <v>0</v>
      </c>
      <c r="M1035" s="25">
        <f>IF($E1035="","",$F1035+$G1035)</f>
        <v>493.81</v>
      </c>
      <c r="N1035" s="84" t="str">
        <f>IF($E1035="","","HELD")</f>
        <v>HELD</v>
      </c>
      <c r="O1035" s="23">
        <f t="shared" si="159"/>
        <v>1</v>
      </c>
    </row>
    <row r="1036" spans="1:15" ht="20" customHeight="1">
      <c r="A1036" s="22" t="str">
        <f t="shared" si="156"/>
        <v>Biweekly Held by Lender</v>
      </c>
      <c r="B1036" s="23">
        <f>IF($E1036="","",10)</f>
        <v>10</v>
      </c>
      <c r="C1036" s="24">
        <f>IF($E1036="","",Inputs!$B$9+(9*Inputs!$B$21))</f>
        <v>46418</v>
      </c>
      <c r="D1036" s="23">
        <f t="shared" si="157"/>
        <v>14</v>
      </c>
      <c r="E1036" s="25">
        <f t="shared" si="158"/>
        <v>31921.759999999998</v>
      </c>
      <c r="F1036" s="25">
        <f>IF($E1036="","",ROUND(MIN(Comparison!$E$5,MAX(0,$E1036+$H1035+$H1036-$M1035)),2))</f>
        <v>493.81</v>
      </c>
      <c r="G1036" s="25">
        <f>IF($E1036="","",ROUND(MIN(Inputs!$B$10,MAX(0,$E1036+$H1035+$H1036-$M1035-$F1036)),2))</f>
        <v>0</v>
      </c>
      <c r="H1036" s="25">
        <f>IF($E1036="","",ROUND(IF(Inputs!$B$12="Daily Simple Interest",$E1036*Inputs!$B$6/Inputs!$B$17*$D1036,$E1036*Inputs!$B$6/Inputs!$B$20),2))</f>
        <v>88.77</v>
      </c>
      <c r="I1036" s="25">
        <f>IF($E1036="","",ROUND($L1036-$H1035-$H1036,2))</f>
        <v>810.08</v>
      </c>
      <c r="J1036" s="25">
        <f>IF($E1036="","",IF($F1036+$G1036&gt;0,Inputs!$B$11,0))</f>
        <v>0</v>
      </c>
      <c r="K1036" s="25">
        <f>IF($E1036="","",ROUND(MAX(0,$E1036-$I1036),2))</f>
        <v>31111.68</v>
      </c>
      <c r="L1036" s="25">
        <f>IF($E1036="","",$M1035+$F1036+$G1036)</f>
        <v>987.62</v>
      </c>
      <c r="M1036" s="25">
        <f>IF($E1036="","",0)</f>
        <v>0</v>
      </c>
      <c r="N1036" s="84" t="str">
        <f>IF($E1036="","",IF($K1036&lt;=0.005,"PAID OFF","POSTED"))</f>
        <v>POSTED</v>
      </c>
      <c r="O1036" s="23">
        <f t="shared" si="159"/>
        <v>1</v>
      </c>
    </row>
    <row r="1037" spans="1:15" ht="20" customHeight="1">
      <c r="A1037" s="22" t="str">
        <f t="shared" si="156"/>
        <v>Biweekly Held by Lender</v>
      </c>
      <c r="B1037" s="23">
        <f>IF($E1037="","",11)</f>
        <v>11</v>
      </c>
      <c r="C1037" s="24">
        <f>IF($E1037="","",Inputs!$B$9+(10*Inputs!$B$21))</f>
        <v>46432</v>
      </c>
      <c r="D1037" s="23">
        <f t="shared" si="157"/>
        <v>14</v>
      </c>
      <c r="E1037" s="25">
        <f t="shared" si="158"/>
        <v>31111.68</v>
      </c>
      <c r="F1037" s="25">
        <f>IF($E1037="","",ROUND(MIN(Comparison!$E$5,MAX(0,$E1037+$H1037)),2))</f>
        <v>493.81</v>
      </c>
      <c r="G1037" s="25">
        <f>IF($E1037="","",ROUND(MIN(Inputs!$B$10,MAX(0,$E1037+$H1037-$F1037)),2))</f>
        <v>0</v>
      </c>
      <c r="H1037" s="25">
        <f>IF($E1037="","",ROUND(IF(Inputs!$B$12="Daily Simple Interest",$E1037*Inputs!$B$6/Inputs!$B$17*$D1037,$E1037*Inputs!$B$6/Inputs!$B$20),2))</f>
        <v>86.52</v>
      </c>
      <c r="I1037" s="25">
        <f>IF($E1037="","",0)</f>
        <v>0</v>
      </c>
      <c r="J1037" s="25">
        <f>IF($E1037="","",IF($F1037+$G1037&gt;0,Inputs!$B$11,0))</f>
        <v>0</v>
      </c>
      <c r="K1037" s="25">
        <f>IF($E1037="","",$E1037)</f>
        <v>31111.68</v>
      </c>
      <c r="L1037" s="25">
        <f>IF($E1037="","",0)</f>
        <v>0</v>
      </c>
      <c r="M1037" s="25">
        <f>IF($E1037="","",$F1037+$G1037)</f>
        <v>493.81</v>
      </c>
      <c r="N1037" s="84" t="str">
        <f>IF($E1037="","","HELD")</f>
        <v>HELD</v>
      </c>
      <c r="O1037" s="23">
        <f t="shared" si="159"/>
        <v>1</v>
      </c>
    </row>
    <row r="1038" spans="1:15" ht="20" customHeight="1">
      <c r="A1038" s="22" t="str">
        <f t="shared" si="156"/>
        <v>Biweekly Held by Lender</v>
      </c>
      <c r="B1038" s="23">
        <f>IF($E1038="","",12)</f>
        <v>12</v>
      </c>
      <c r="C1038" s="24">
        <f>IF($E1038="","",Inputs!$B$9+(11*Inputs!$B$21))</f>
        <v>46446</v>
      </c>
      <c r="D1038" s="23">
        <f t="shared" si="157"/>
        <v>14</v>
      </c>
      <c r="E1038" s="25">
        <f t="shared" si="158"/>
        <v>31111.68</v>
      </c>
      <c r="F1038" s="25">
        <f>IF($E1038="","",ROUND(MIN(Comparison!$E$5,MAX(0,$E1038+$H1037+$H1038-$M1037)),2))</f>
        <v>493.81</v>
      </c>
      <c r="G1038" s="25">
        <f>IF($E1038="","",ROUND(MIN(Inputs!$B$10,MAX(0,$E1038+$H1037+$H1038-$M1037-$F1038)),2))</f>
        <v>0</v>
      </c>
      <c r="H1038" s="25">
        <f>IF($E1038="","",ROUND(IF(Inputs!$B$12="Daily Simple Interest",$E1038*Inputs!$B$6/Inputs!$B$17*$D1038,$E1038*Inputs!$B$6/Inputs!$B$20),2))</f>
        <v>86.52</v>
      </c>
      <c r="I1038" s="25">
        <f>IF($E1038="","",ROUND($L1038-$H1037-$H1038,2))</f>
        <v>814.58</v>
      </c>
      <c r="J1038" s="25">
        <f>IF($E1038="","",IF($F1038+$G1038&gt;0,Inputs!$B$11,0))</f>
        <v>0</v>
      </c>
      <c r="K1038" s="25">
        <f>IF($E1038="","",ROUND(MAX(0,$E1038-$I1038),2))</f>
        <v>30297.1</v>
      </c>
      <c r="L1038" s="25">
        <f>IF($E1038="","",$M1037+$F1038+$G1038)</f>
        <v>987.62</v>
      </c>
      <c r="M1038" s="25">
        <f>IF($E1038="","",0)</f>
        <v>0</v>
      </c>
      <c r="N1038" s="84" t="str">
        <f>IF($E1038="","",IF($K1038&lt;=0.005,"PAID OFF","POSTED"))</f>
        <v>POSTED</v>
      </c>
      <c r="O1038" s="23">
        <f t="shared" si="159"/>
        <v>1</v>
      </c>
    </row>
    <row r="1039" spans="1:15" ht="20" customHeight="1">
      <c r="A1039" s="22" t="str">
        <f t="shared" si="156"/>
        <v>Biweekly Held by Lender</v>
      </c>
      <c r="B1039" s="23">
        <f>IF($E1039="","",13)</f>
        <v>13</v>
      </c>
      <c r="C1039" s="24">
        <f>IF($E1039="","",Inputs!$B$9+(12*Inputs!$B$21))</f>
        <v>46460</v>
      </c>
      <c r="D1039" s="23">
        <f t="shared" si="157"/>
        <v>14</v>
      </c>
      <c r="E1039" s="25">
        <f t="shared" si="158"/>
        <v>30297.1</v>
      </c>
      <c r="F1039" s="25">
        <f>IF($E1039="","",ROUND(MIN(Comparison!$E$5,MAX(0,$E1039+$H1039)),2))</f>
        <v>493.81</v>
      </c>
      <c r="G1039" s="25">
        <f>IF($E1039="","",ROUND(MIN(Inputs!$B$10,MAX(0,$E1039+$H1039-$F1039)),2))</f>
        <v>0</v>
      </c>
      <c r="H1039" s="25">
        <f>IF($E1039="","",ROUND(IF(Inputs!$B$12="Daily Simple Interest",$E1039*Inputs!$B$6/Inputs!$B$17*$D1039,$E1039*Inputs!$B$6/Inputs!$B$20),2))</f>
        <v>84.25</v>
      </c>
      <c r="I1039" s="25">
        <f>IF($E1039="","",0)</f>
        <v>0</v>
      </c>
      <c r="J1039" s="25">
        <f>IF($E1039="","",IF($F1039+$G1039&gt;0,Inputs!$B$11,0))</f>
        <v>0</v>
      </c>
      <c r="K1039" s="25">
        <f>IF($E1039="","",$E1039)</f>
        <v>30297.1</v>
      </c>
      <c r="L1039" s="25">
        <f>IF($E1039="","",0)</f>
        <v>0</v>
      </c>
      <c r="M1039" s="25">
        <f>IF($E1039="","",$F1039+$G1039)</f>
        <v>493.81</v>
      </c>
      <c r="N1039" s="84" t="str">
        <f>IF($E1039="","","HELD")</f>
        <v>HELD</v>
      </c>
      <c r="O1039" s="23">
        <f t="shared" si="159"/>
        <v>1</v>
      </c>
    </row>
    <row r="1040" spans="1:15" ht="20" customHeight="1">
      <c r="A1040" s="22" t="str">
        <f t="shared" si="156"/>
        <v>Biweekly Held by Lender</v>
      </c>
      <c r="B1040" s="23">
        <f>IF($E1040="","",14)</f>
        <v>14</v>
      </c>
      <c r="C1040" s="24">
        <f>IF($E1040="","",Inputs!$B$9+(13*Inputs!$B$21))</f>
        <v>46474</v>
      </c>
      <c r="D1040" s="23">
        <f t="shared" si="157"/>
        <v>14</v>
      </c>
      <c r="E1040" s="25">
        <f t="shared" si="158"/>
        <v>30297.1</v>
      </c>
      <c r="F1040" s="25">
        <f>IF($E1040="","",ROUND(MIN(Comparison!$E$5,MAX(0,$E1040+$H1039+$H1040-$M1039)),2))</f>
        <v>493.81</v>
      </c>
      <c r="G1040" s="25">
        <f>IF($E1040="","",ROUND(MIN(Inputs!$B$10,MAX(0,$E1040+$H1039+$H1040-$M1039-$F1040)),2))</f>
        <v>0</v>
      </c>
      <c r="H1040" s="25">
        <f>IF($E1040="","",ROUND(IF(Inputs!$B$12="Daily Simple Interest",$E1040*Inputs!$B$6/Inputs!$B$17*$D1040,$E1040*Inputs!$B$6/Inputs!$B$20),2))</f>
        <v>84.25</v>
      </c>
      <c r="I1040" s="25">
        <f>IF($E1040="","",ROUND($L1040-$H1039-$H1040,2))</f>
        <v>819.12</v>
      </c>
      <c r="J1040" s="25">
        <f>IF($E1040="","",IF($F1040+$G1040&gt;0,Inputs!$B$11,0))</f>
        <v>0</v>
      </c>
      <c r="K1040" s="25">
        <f>IF($E1040="","",ROUND(MAX(0,$E1040-$I1040),2))</f>
        <v>29477.98</v>
      </c>
      <c r="L1040" s="25">
        <f>IF($E1040="","",$M1039+$F1040+$G1040)</f>
        <v>987.62</v>
      </c>
      <c r="M1040" s="25">
        <f>IF($E1040="","",0)</f>
        <v>0</v>
      </c>
      <c r="N1040" s="84" t="str">
        <f>IF($E1040="","",IF($K1040&lt;=0.005,"PAID OFF","POSTED"))</f>
        <v>POSTED</v>
      </c>
      <c r="O1040" s="23">
        <f t="shared" si="159"/>
        <v>1</v>
      </c>
    </row>
    <row r="1041" spans="1:15" ht="20" customHeight="1">
      <c r="A1041" s="22" t="str">
        <f t="shared" si="156"/>
        <v>Biweekly Held by Lender</v>
      </c>
      <c r="B1041" s="23">
        <f>IF($E1041="","",15)</f>
        <v>15</v>
      </c>
      <c r="C1041" s="24">
        <f>IF($E1041="","",Inputs!$B$9+(14*Inputs!$B$21))</f>
        <v>46488</v>
      </c>
      <c r="D1041" s="23">
        <f t="shared" si="157"/>
        <v>14</v>
      </c>
      <c r="E1041" s="25">
        <f t="shared" si="158"/>
        <v>29477.98</v>
      </c>
      <c r="F1041" s="25">
        <f>IF($E1041="","",ROUND(MIN(Comparison!$E$5,MAX(0,$E1041+$H1041)),2))</f>
        <v>493.81</v>
      </c>
      <c r="G1041" s="25">
        <f>IF($E1041="","",ROUND(MIN(Inputs!$B$10,MAX(0,$E1041+$H1041-$F1041)),2))</f>
        <v>0</v>
      </c>
      <c r="H1041" s="25">
        <f>IF($E1041="","",ROUND(IF(Inputs!$B$12="Daily Simple Interest",$E1041*Inputs!$B$6/Inputs!$B$17*$D1041,$E1041*Inputs!$B$6/Inputs!$B$20),2))</f>
        <v>81.97</v>
      </c>
      <c r="I1041" s="25">
        <f>IF($E1041="","",0)</f>
        <v>0</v>
      </c>
      <c r="J1041" s="25">
        <f>IF($E1041="","",IF($F1041+$G1041&gt;0,Inputs!$B$11,0))</f>
        <v>0</v>
      </c>
      <c r="K1041" s="25">
        <f>IF($E1041="","",$E1041)</f>
        <v>29477.98</v>
      </c>
      <c r="L1041" s="25">
        <f>IF($E1041="","",0)</f>
        <v>0</v>
      </c>
      <c r="M1041" s="25">
        <f>IF($E1041="","",$F1041+$G1041)</f>
        <v>493.81</v>
      </c>
      <c r="N1041" s="84" t="str">
        <f>IF($E1041="","","HELD")</f>
        <v>HELD</v>
      </c>
      <c r="O1041" s="23">
        <f t="shared" si="159"/>
        <v>1</v>
      </c>
    </row>
    <row r="1042" spans="1:15" ht="20" customHeight="1">
      <c r="A1042" s="22" t="str">
        <f t="shared" si="156"/>
        <v>Biweekly Held by Lender</v>
      </c>
      <c r="B1042" s="23">
        <f>IF($E1042="","",16)</f>
        <v>16</v>
      </c>
      <c r="C1042" s="24">
        <f>IF($E1042="","",Inputs!$B$9+(15*Inputs!$B$21))</f>
        <v>46502</v>
      </c>
      <c r="D1042" s="23">
        <f t="shared" si="157"/>
        <v>14</v>
      </c>
      <c r="E1042" s="25">
        <f t="shared" si="158"/>
        <v>29477.98</v>
      </c>
      <c r="F1042" s="25">
        <f>IF($E1042="","",ROUND(MIN(Comparison!$E$5,MAX(0,$E1042+$H1041+$H1042-$M1041)),2))</f>
        <v>493.81</v>
      </c>
      <c r="G1042" s="25">
        <f>IF($E1042="","",ROUND(MIN(Inputs!$B$10,MAX(0,$E1042+$H1041+$H1042-$M1041-$F1042)),2))</f>
        <v>0</v>
      </c>
      <c r="H1042" s="25">
        <f>IF($E1042="","",ROUND(IF(Inputs!$B$12="Daily Simple Interest",$E1042*Inputs!$B$6/Inputs!$B$17*$D1042,$E1042*Inputs!$B$6/Inputs!$B$20),2))</f>
        <v>81.97</v>
      </c>
      <c r="I1042" s="25">
        <f>IF($E1042="","",ROUND($L1042-$H1041-$H1042,2))</f>
        <v>823.68</v>
      </c>
      <c r="J1042" s="25">
        <f>IF($E1042="","",IF($F1042+$G1042&gt;0,Inputs!$B$11,0))</f>
        <v>0</v>
      </c>
      <c r="K1042" s="25">
        <f>IF($E1042="","",ROUND(MAX(0,$E1042-$I1042),2))</f>
        <v>28654.3</v>
      </c>
      <c r="L1042" s="25">
        <f>IF($E1042="","",$M1041+$F1042+$G1042)</f>
        <v>987.62</v>
      </c>
      <c r="M1042" s="25">
        <f>IF($E1042="","",0)</f>
        <v>0</v>
      </c>
      <c r="N1042" s="84" t="str">
        <f>IF($E1042="","",IF($K1042&lt;=0.005,"PAID OFF","POSTED"))</f>
        <v>POSTED</v>
      </c>
      <c r="O1042" s="23">
        <f t="shared" si="159"/>
        <v>1</v>
      </c>
    </row>
    <row r="1043" spans="1:15" ht="20" customHeight="1">
      <c r="A1043" s="22" t="str">
        <f t="shared" si="156"/>
        <v>Biweekly Held by Lender</v>
      </c>
      <c r="B1043" s="23">
        <f>IF($E1043="","",17)</f>
        <v>17</v>
      </c>
      <c r="C1043" s="24">
        <f>IF($E1043="","",Inputs!$B$9+(16*Inputs!$B$21))</f>
        <v>46516</v>
      </c>
      <c r="D1043" s="23">
        <f t="shared" si="157"/>
        <v>14</v>
      </c>
      <c r="E1043" s="25">
        <f t="shared" si="158"/>
        <v>28654.3</v>
      </c>
      <c r="F1043" s="25">
        <f>IF($E1043="","",ROUND(MIN(Comparison!$E$5,MAX(0,$E1043+$H1043)),2))</f>
        <v>493.81</v>
      </c>
      <c r="G1043" s="25">
        <f>IF($E1043="","",ROUND(MIN(Inputs!$B$10,MAX(0,$E1043+$H1043-$F1043)),2))</f>
        <v>0</v>
      </c>
      <c r="H1043" s="25">
        <f>IF($E1043="","",ROUND(IF(Inputs!$B$12="Daily Simple Interest",$E1043*Inputs!$B$6/Inputs!$B$17*$D1043,$E1043*Inputs!$B$6/Inputs!$B$20),2))</f>
        <v>79.680000000000007</v>
      </c>
      <c r="I1043" s="25">
        <f>IF($E1043="","",0)</f>
        <v>0</v>
      </c>
      <c r="J1043" s="25">
        <f>IF($E1043="","",IF($F1043+$G1043&gt;0,Inputs!$B$11,0))</f>
        <v>0</v>
      </c>
      <c r="K1043" s="25">
        <f>IF($E1043="","",$E1043)</f>
        <v>28654.3</v>
      </c>
      <c r="L1043" s="25">
        <f>IF($E1043="","",0)</f>
        <v>0</v>
      </c>
      <c r="M1043" s="25">
        <f>IF($E1043="","",$F1043+$G1043)</f>
        <v>493.81</v>
      </c>
      <c r="N1043" s="84" t="str">
        <f>IF($E1043="","","HELD")</f>
        <v>HELD</v>
      </c>
      <c r="O1043" s="23">
        <f t="shared" si="159"/>
        <v>1</v>
      </c>
    </row>
    <row r="1044" spans="1:15" ht="20" customHeight="1">
      <c r="A1044" s="22" t="str">
        <f t="shared" si="156"/>
        <v>Biweekly Held by Lender</v>
      </c>
      <c r="B1044" s="23">
        <f>IF($E1044="","",18)</f>
        <v>18</v>
      </c>
      <c r="C1044" s="24">
        <f>IF($E1044="","",Inputs!$B$9+(17*Inputs!$B$21))</f>
        <v>46530</v>
      </c>
      <c r="D1044" s="23">
        <f t="shared" si="157"/>
        <v>14</v>
      </c>
      <c r="E1044" s="25">
        <f t="shared" si="158"/>
        <v>28654.3</v>
      </c>
      <c r="F1044" s="25">
        <f>IF($E1044="","",ROUND(MIN(Comparison!$E$5,MAX(0,$E1044+$H1043+$H1044-$M1043)),2))</f>
        <v>493.81</v>
      </c>
      <c r="G1044" s="25">
        <f>IF($E1044="","",ROUND(MIN(Inputs!$B$10,MAX(0,$E1044+$H1043+$H1044-$M1043-$F1044)),2))</f>
        <v>0</v>
      </c>
      <c r="H1044" s="25">
        <f>IF($E1044="","",ROUND(IF(Inputs!$B$12="Daily Simple Interest",$E1044*Inputs!$B$6/Inputs!$B$17*$D1044,$E1044*Inputs!$B$6/Inputs!$B$20),2))</f>
        <v>79.680000000000007</v>
      </c>
      <c r="I1044" s="25">
        <f>IF($E1044="","",ROUND($L1044-$H1043-$H1044,2))</f>
        <v>828.26</v>
      </c>
      <c r="J1044" s="25">
        <f>IF($E1044="","",IF($F1044+$G1044&gt;0,Inputs!$B$11,0))</f>
        <v>0</v>
      </c>
      <c r="K1044" s="25">
        <f>IF($E1044="","",ROUND(MAX(0,$E1044-$I1044),2))</f>
        <v>27826.04</v>
      </c>
      <c r="L1044" s="25">
        <f>IF($E1044="","",$M1043+$F1044+$G1044)</f>
        <v>987.62</v>
      </c>
      <c r="M1044" s="25">
        <f>IF($E1044="","",0)</f>
        <v>0</v>
      </c>
      <c r="N1044" s="84" t="str">
        <f>IF($E1044="","",IF($K1044&lt;=0.005,"PAID OFF","POSTED"))</f>
        <v>POSTED</v>
      </c>
      <c r="O1044" s="23">
        <f t="shared" si="159"/>
        <v>1</v>
      </c>
    </row>
    <row r="1045" spans="1:15" ht="20" customHeight="1">
      <c r="A1045" s="22" t="str">
        <f t="shared" si="156"/>
        <v>Biweekly Held by Lender</v>
      </c>
      <c r="B1045" s="23">
        <f>IF($E1045="","",19)</f>
        <v>19</v>
      </c>
      <c r="C1045" s="24">
        <f>IF($E1045="","",Inputs!$B$9+(18*Inputs!$B$21))</f>
        <v>46544</v>
      </c>
      <c r="D1045" s="23">
        <f t="shared" si="157"/>
        <v>14</v>
      </c>
      <c r="E1045" s="25">
        <f t="shared" si="158"/>
        <v>27826.04</v>
      </c>
      <c r="F1045" s="25">
        <f>IF($E1045="","",ROUND(MIN(Comparison!$E$5,MAX(0,$E1045+$H1045)),2))</f>
        <v>493.81</v>
      </c>
      <c r="G1045" s="25">
        <f>IF($E1045="","",ROUND(MIN(Inputs!$B$10,MAX(0,$E1045+$H1045-$F1045)),2))</f>
        <v>0</v>
      </c>
      <c r="H1045" s="25">
        <f>IF($E1045="","",ROUND(IF(Inputs!$B$12="Daily Simple Interest",$E1045*Inputs!$B$6/Inputs!$B$17*$D1045,$E1045*Inputs!$B$6/Inputs!$B$20),2))</f>
        <v>77.38</v>
      </c>
      <c r="I1045" s="25">
        <f>IF($E1045="","",0)</f>
        <v>0</v>
      </c>
      <c r="J1045" s="25">
        <f>IF($E1045="","",IF($F1045+$G1045&gt;0,Inputs!$B$11,0))</f>
        <v>0</v>
      </c>
      <c r="K1045" s="25">
        <f>IF($E1045="","",$E1045)</f>
        <v>27826.04</v>
      </c>
      <c r="L1045" s="25">
        <f>IF($E1045="","",0)</f>
        <v>0</v>
      </c>
      <c r="M1045" s="25">
        <f>IF($E1045="","",$F1045+$G1045)</f>
        <v>493.81</v>
      </c>
      <c r="N1045" s="84" t="str">
        <f>IF($E1045="","","HELD")</f>
        <v>HELD</v>
      </c>
      <c r="O1045" s="23">
        <f t="shared" si="159"/>
        <v>1</v>
      </c>
    </row>
    <row r="1046" spans="1:15" ht="20" customHeight="1">
      <c r="A1046" s="22" t="str">
        <f t="shared" si="156"/>
        <v>Biweekly Held by Lender</v>
      </c>
      <c r="B1046" s="23">
        <f>IF($E1046="","",20)</f>
        <v>20</v>
      </c>
      <c r="C1046" s="24">
        <f>IF($E1046="","",Inputs!$B$9+(19*Inputs!$B$21))</f>
        <v>46558</v>
      </c>
      <c r="D1046" s="23">
        <f t="shared" si="157"/>
        <v>14</v>
      </c>
      <c r="E1046" s="25">
        <f t="shared" si="158"/>
        <v>27826.04</v>
      </c>
      <c r="F1046" s="25">
        <f>IF($E1046="","",ROUND(MIN(Comparison!$E$5,MAX(0,$E1046+$H1045+$H1046-$M1045)),2))</f>
        <v>493.81</v>
      </c>
      <c r="G1046" s="25">
        <f>IF($E1046="","",ROUND(MIN(Inputs!$B$10,MAX(0,$E1046+$H1045+$H1046-$M1045-$F1046)),2))</f>
        <v>0</v>
      </c>
      <c r="H1046" s="25">
        <f>IF($E1046="","",ROUND(IF(Inputs!$B$12="Daily Simple Interest",$E1046*Inputs!$B$6/Inputs!$B$17*$D1046,$E1046*Inputs!$B$6/Inputs!$B$20),2))</f>
        <v>77.38</v>
      </c>
      <c r="I1046" s="25">
        <f>IF($E1046="","",ROUND($L1046-$H1045-$H1046,2))</f>
        <v>832.86</v>
      </c>
      <c r="J1046" s="25">
        <f>IF($E1046="","",IF($F1046+$G1046&gt;0,Inputs!$B$11,0))</f>
        <v>0</v>
      </c>
      <c r="K1046" s="25">
        <f>IF($E1046="","",ROUND(MAX(0,$E1046-$I1046),2))</f>
        <v>26993.18</v>
      </c>
      <c r="L1046" s="25">
        <f>IF($E1046="","",$M1045+$F1046+$G1046)</f>
        <v>987.62</v>
      </c>
      <c r="M1046" s="25">
        <f>IF($E1046="","",0)</f>
        <v>0</v>
      </c>
      <c r="N1046" s="84" t="str">
        <f>IF($E1046="","",IF($K1046&lt;=0.005,"PAID OFF","POSTED"))</f>
        <v>POSTED</v>
      </c>
      <c r="O1046" s="23">
        <f t="shared" si="159"/>
        <v>1</v>
      </c>
    </row>
    <row r="1047" spans="1:15" ht="20" customHeight="1">
      <c r="A1047" s="22" t="str">
        <f t="shared" si="156"/>
        <v>Biweekly Held by Lender</v>
      </c>
      <c r="B1047" s="23">
        <f>IF($E1047="","",21)</f>
        <v>21</v>
      </c>
      <c r="C1047" s="24">
        <f>IF($E1047="","",Inputs!$B$9+(20*Inputs!$B$21))</f>
        <v>46572</v>
      </c>
      <c r="D1047" s="23">
        <f t="shared" si="157"/>
        <v>14</v>
      </c>
      <c r="E1047" s="25">
        <f t="shared" si="158"/>
        <v>26993.18</v>
      </c>
      <c r="F1047" s="25">
        <f>IF($E1047="","",ROUND(MIN(Comparison!$E$5,MAX(0,$E1047+$H1047)),2))</f>
        <v>493.81</v>
      </c>
      <c r="G1047" s="25">
        <f>IF($E1047="","",ROUND(MIN(Inputs!$B$10,MAX(0,$E1047+$H1047-$F1047)),2))</f>
        <v>0</v>
      </c>
      <c r="H1047" s="25">
        <f>IF($E1047="","",ROUND(IF(Inputs!$B$12="Daily Simple Interest",$E1047*Inputs!$B$6/Inputs!$B$17*$D1047,$E1047*Inputs!$B$6/Inputs!$B$20),2))</f>
        <v>75.06</v>
      </c>
      <c r="I1047" s="25">
        <f>IF($E1047="","",0)</f>
        <v>0</v>
      </c>
      <c r="J1047" s="25">
        <f>IF($E1047="","",IF($F1047+$G1047&gt;0,Inputs!$B$11,0))</f>
        <v>0</v>
      </c>
      <c r="K1047" s="25">
        <f>IF($E1047="","",$E1047)</f>
        <v>26993.18</v>
      </c>
      <c r="L1047" s="25">
        <f>IF($E1047="","",0)</f>
        <v>0</v>
      </c>
      <c r="M1047" s="25">
        <f>IF($E1047="","",$F1047+$G1047)</f>
        <v>493.81</v>
      </c>
      <c r="N1047" s="84" t="str">
        <f>IF($E1047="","","HELD")</f>
        <v>HELD</v>
      </c>
      <c r="O1047" s="23">
        <f t="shared" si="159"/>
        <v>1</v>
      </c>
    </row>
    <row r="1048" spans="1:15" ht="20" customHeight="1">
      <c r="A1048" s="22" t="str">
        <f t="shared" si="156"/>
        <v>Biweekly Held by Lender</v>
      </c>
      <c r="B1048" s="23">
        <f>IF($E1048="","",22)</f>
        <v>22</v>
      </c>
      <c r="C1048" s="24">
        <f>IF($E1048="","",Inputs!$B$9+(21*Inputs!$B$21))</f>
        <v>46586</v>
      </c>
      <c r="D1048" s="23">
        <f t="shared" si="157"/>
        <v>14</v>
      </c>
      <c r="E1048" s="25">
        <f t="shared" si="158"/>
        <v>26993.18</v>
      </c>
      <c r="F1048" s="25">
        <f>IF($E1048="","",ROUND(MIN(Comparison!$E$5,MAX(0,$E1048+$H1047+$H1048-$M1047)),2))</f>
        <v>493.81</v>
      </c>
      <c r="G1048" s="25">
        <f>IF($E1048="","",ROUND(MIN(Inputs!$B$10,MAX(0,$E1048+$H1047+$H1048-$M1047-$F1048)),2))</f>
        <v>0</v>
      </c>
      <c r="H1048" s="25">
        <f>IF($E1048="","",ROUND(IF(Inputs!$B$12="Daily Simple Interest",$E1048*Inputs!$B$6/Inputs!$B$17*$D1048,$E1048*Inputs!$B$6/Inputs!$B$20),2))</f>
        <v>75.06</v>
      </c>
      <c r="I1048" s="25">
        <f>IF($E1048="","",ROUND($L1048-$H1047-$H1048,2))</f>
        <v>837.5</v>
      </c>
      <c r="J1048" s="25">
        <f>IF($E1048="","",IF($F1048+$G1048&gt;0,Inputs!$B$11,0))</f>
        <v>0</v>
      </c>
      <c r="K1048" s="25">
        <f>IF($E1048="","",ROUND(MAX(0,$E1048-$I1048),2))</f>
        <v>26155.68</v>
      </c>
      <c r="L1048" s="25">
        <f>IF($E1048="","",$M1047+$F1048+$G1048)</f>
        <v>987.62</v>
      </c>
      <c r="M1048" s="25">
        <f>IF($E1048="","",0)</f>
        <v>0</v>
      </c>
      <c r="N1048" s="84" t="str">
        <f>IF($E1048="","",IF($K1048&lt;=0.005,"PAID OFF","POSTED"))</f>
        <v>POSTED</v>
      </c>
      <c r="O1048" s="23">
        <f t="shared" si="159"/>
        <v>1</v>
      </c>
    </row>
    <row r="1049" spans="1:15" ht="20" customHeight="1">
      <c r="A1049" s="22" t="str">
        <f t="shared" si="156"/>
        <v>Biweekly Held by Lender</v>
      </c>
      <c r="B1049" s="23">
        <f>IF($E1049="","",23)</f>
        <v>23</v>
      </c>
      <c r="C1049" s="24">
        <f>IF($E1049="","",Inputs!$B$9+(22*Inputs!$B$21))</f>
        <v>46600</v>
      </c>
      <c r="D1049" s="23">
        <f t="shared" si="157"/>
        <v>14</v>
      </c>
      <c r="E1049" s="25">
        <f t="shared" si="158"/>
        <v>26155.68</v>
      </c>
      <c r="F1049" s="25">
        <f>IF($E1049="","",ROUND(MIN(Comparison!$E$5,MAX(0,$E1049+$H1049)),2))</f>
        <v>493.81</v>
      </c>
      <c r="G1049" s="25">
        <f>IF($E1049="","",ROUND(MIN(Inputs!$B$10,MAX(0,$E1049+$H1049-$F1049)),2))</f>
        <v>0</v>
      </c>
      <c r="H1049" s="25">
        <f>IF($E1049="","",ROUND(IF(Inputs!$B$12="Daily Simple Interest",$E1049*Inputs!$B$6/Inputs!$B$17*$D1049,$E1049*Inputs!$B$6/Inputs!$B$20),2))</f>
        <v>72.73</v>
      </c>
      <c r="I1049" s="25">
        <f>IF($E1049="","",0)</f>
        <v>0</v>
      </c>
      <c r="J1049" s="25">
        <f>IF($E1049="","",IF($F1049+$G1049&gt;0,Inputs!$B$11,0))</f>
        <v>0</v>
      </c>
      <c r="K1049" s="25">
        <f>IF($E1049="","",$E1049)</f>
        <v>26155.68</v>
      </c>
      <c r="L1049" s="25">
        <f>IF($E1049="","",0)</f>
        <v>0</v>
      </c>
      <c r="M1049" s="25">
        <f>IF($E1049="","",$F1049+$G1049)</f>
        <v>493.81</v>
      </c>
      <c r="N1049" s="84" t="str">
        <f>IF($E1049="","","HELD")</f>
        <v>HELD</v>
      </c>
      <c r="O1049" s="23">
        <f t="shared" si="159"/>
        <v>1</v>
      </c>
    </row>
    <row r="1050" spans="1:15" ht="20" customHeight="1">
      <c r="A1050" s="22" t="str">
        <f t="shared" si="156"/>
        <v>Biweekly Held by Lender</v>
      </c>
      <c r="B1050" s="23">
        <f>IF($E1050="","",24)</f>
        <v>24</v>
      </c>
      <c r="C1050" s="24">
        <f>IF($E1050="","",Inputs!$B$9+(23*Inputs!$B$21))</f>
        <v>46614</v>
      </c>
      <c r="D1050" s="23">
        <f t="shared" si="157"/>
        <v>14</v>
      </c>
      <c r="E1050" s="25">
        <f t="shared" si="158"/>
        <v>26155.68</v>
      </c>
      <c r="F1050" s="25">
        <f>IF($E1050="","",ROUND(MIN(Comparison!$E$5,MAX(0,$E1050+$H1049+$H1050-$M1049)),2))</f>
        <v>493.81</v>
      </c>
      <c r="G1050" s="25">
        <f>IF($E1050="","",ROUND(MIN(Inputs!$B$10,MAX(0,$E1050+$H1049+$H1050-$M1049-$F1050)),2))</f>
        <v>0</v>
      </c>
      <c r="H1050" s="25">
        <f>IF($E1050="","",ROUND(IF(Inputs!$B$12="Daily Simple Interest",$E1050*Inputs!$B$6/Inputs!$B$17*$D1050,$E1050*Inputs!$B$6/Inputs!$B$20),2))</f>
        <v>72.73</v>
      </c>
      <c r="I1050" s="25">
        <f>IF($E1050="","",ROUND($L1050-$H1049-$H1050,2))</f>
        <v>842.16</v>
      </c>
      <c r="J1050" s="25">
        <f>IF($E1050="","",IF($F1050+$G1050&gt;0,Inputs!$B$11,0))</f>
        <v>0</v>
      </c>
      <c r="K1050" s="25">
        <f>IF($E1050="","",ROUND(MAX(0,$E1050-$I1050),2))</f>
        <v>25313.52</v>
      </c>
      <c r="L1050" s="25">
        <f>IF($E1050="","",$M1049+$F1050+$G1050)</f>
        <v>987.62</v>
      </c>
      <c r="M1050" s="25">
        <f>IF($E1050="","",0)</f>
        <v>0</v>
      </c>
      <c r="N1050" s="84" t="str">
        <f>IF($E1050="","",IF($K1050&lt;=0.005,"PAID OFF","POSTED"))</f>
        <v>POSTED</v>
      </c>
      <c r="O1050" s="23">
        <f t="shared" si="159"/>
        <v>1</v>
      </c>
    </row>
    <row r="1051" spans="1:15" ht="20" customHeight="1">
      <c r="A1051" s="22" t="str">
        <f t="shared" si="156"/>
        <v>Biweekly Held by Lender</v>
      </c>
      <c r="B1051" s="23">
        <f>IF($E1051="","",25)</f>
        <v>25</v>
      </c>
      <c r="C1051" s="24">
        <f>IF($E1051="","",Inputs!$B$9+(24*Inputs!$B$21))</f>
        <v>46628</v>
      </c>
      <c r="D1051" s="23">
        <f t="shared" si="157"/>
        <v>14</v>
      </c>
      <c r="E1051" s="25">
        <f t="shared" si="158"/>
        <v>25313.52</v>
      </c>
      <c r="F1051" s="25">
        <f>IF($E1051="","",ROUND(MIN(Comparison!$E$5,MAX(0,$E1051+$H1051)),2))</f>
        <v>493.81</v>
      </c>
      <c r="G1051" s="25">
        <f>IF($E1051="","",ROUND(MIN(Inputs!$B$10,MAX(0,$E1051+$H1051-$F1051)),2))</f>
        <v>0</v>
      </c>
      <c r="H1051" s="25">
        <f>IF($E1051="","",ROUND(IF(Inputs!$B$12="Daily Simple Interest",$E1051*Inputs!$B$6/Inputs!$B$17*$D1051,$E1051*Inputs!$B$6/Inputs!$B$20),2))</f>
        <v>70.39</v>
      </c>
      <c r="I1051" s="25">
        <f>IF($E1051="","",0)</f>
        <v>0</v>
      </c>
      <c r="J1051" s="25">
        <f>IF($E1051="","",IF($F1051+$G1051&gt;0,Inputs!$B$11,0))</f>
        <v>0</v>
      </c>
      <c r="K1051" s="25">
        <f>IF($E1051="","",$E1051)</f>
        <v>25313.52</v>
      </c>
      <c r="L1051" s="25">
        <f>IF($E1051="","",0)</f>
        <v>0</v>
      </c>
      <c r="M1051" s="25">
        <f>IF($E1051="","",$F1051+$G1051)</f>
        <v>493.81</v>
      </c>
      <c r="N1051" s="84" t="str">
        <f>IF($E1051="","","HELD")</f>
        <v>HELD</v>
      </c>
      <c r="O1051" s="23">
        <f t="shared" si="159"/>
        <v>1</v>
      </c>
    </row>
    <row r="1052" spans="1:15" ht="20" customHeight="1">
      <c r="A1052" s="22" t="str">
        <f t="shared" si="156"/>
        <v>Biweekly Held by Lender</v>
      </c>
      <c r="B1052" s="23">
        <f>IF($E1052="","",26)</f>
        <v>26</v>
      </c>
      <c r="C1052" s="24">
        <f>IF($E1052="","",Inputs!$B$9+(25*Inputs!$B$21))</f>
        <v>46642</v>
      </c>
      <c r="D1052" s="23">
        <f t="shared" si="157"/>
        <v>14</v>
      </c>
      <c r="E1052" s="25">
        <f t="shared" si="158"/>
        <v>25313.52</v>
      </c>
      <c r="F1052" s="25">
        <f>IF($E1052="","",ROUND(MIN(Comparison!$E$5,MAX(0,$E1052+$H1051+$H1052-$M1051)),2))</f>
        <v>493.81</v>
      </c>
      <c r="G1052" s="25">
        <f>IF($E1052="","",ROUND(MIN(Inputs!$B$10,MAX(0,$E1052+$H1051+$H1052-$M1051-$F1052)),2))</f>
        <v>0</v>
      </c>
      <c r="H1052" s="25">
        <f>IF($E1052="","",ROUND(IF(Inputs!$B$12="Daily Simple Interest",$E1052*Inputs!$B$6/Inputs!$B$17*$D1052,$E1052*Inputs!$B$6/Inputs!$B$20),2))</f>
        <v>70.39</v>
      </c>
      <c r="I1052" s="25">
        <f>IF($E1052="","",ROUND($L1052-$H1051-$H1052,2))</f>
        <v>846.84</v>
      </c>
      <c r="J1052" s="25">
        <f>IF($E1052="","",IF($F1052+$G1052&gt;0,Inputs!$B$11,0))</f>
        <v>0</v>
      </c>
      <c r="K1052" s="25">
        <f>IF($E1052="","",ROUND(MAX(0,$E1052-$I1052),2))</f>
        <v>24466.68</v>
      </c>
      <c r="L1052" s="25">
        <f>IF($E1052="","",$M1051+$F1052+$G1052)</f>
        <v>987.62</v>
      </c>
      <c r="M1052" s="25">
        <f>IF($E1052="","",0)</f>
        <v>0</v>
      </c>
      <c r="N1052" s="84" t="str">
        <f>IF($E1052="","",IF($K1052&lt;=0.005,"PAID OFF","POSTED"))</f>
        <v>POSTED</v>
      </c>
      <c r="O1052" s="23">
        <f t="shared" si="159"/>
        <v>1</v>
      </c>
    </row>
    <row r="1053" spans="1:15" ht="20" customHeight="1">
      <c r="A1053" s="22" t="str">
        <f t="shared" si="156"/>
        <v>Biweekly Held by Lender</v>
      </c>
      <c r="B1053" s="23">
        <f>IF($E1053="","",27)</f>
        <v>27</v>
      </c>
      <c r="C1053" s="24">
        <f>IF($E1053="","",Inputs!$B$9+(26*Inputs!$B$21))</f>
        <v>46656</v>
      </c>
      <c r="D1053" s="23">
        <f t="shared" si="157"/>
        <v>14</v>
      </c>
      <c r="E1053" s="25">
        <f t="shared" si="158"/>
        <v>24466.68</v>
      </c>
      <c r="F1053" s="25">
        <f>IF($E1053="","",ROUND(MIN(Comparison!$E$5,MAX(0,$E1053+$H1053)),2))</f>
        <v>493.81</v>
      </c>
      <c r="G1053" s="25">
        <f>IF($E1053="","",ROUND(MIN(Inputs!$B$10,MAX(0,$E1053+$H1053-$F1053)),2))</f>
        <v>0</v>
      </c>
      <c r="H1053" s="25">
        <f>IF($E1053="","",ROUND(IF(Inputs!$B$12="Daily Simple Interest",$E1053*Inputs!$B$6/Inputs!$B$17*$D1053,$E1053*Inputs!$B$6/Inputs!$B$20),2))</f>
        <v>68.040000000000006</v>
      </c>
      <c r="I1053" s="25">
        <f>IF($E1053="","",0)</f>
        <v>0</v>
      </c>
      <c r="J1053" s="25">
        <f>IF($E1053="","",IF($F1053+$G1053&gt;0,Inputs!$B$11,0))</f>
        <v>0</v>
      </c>
      <c r="K1053" s="25">
        <f>IF($E1053="","",$E1053)</f>
        <v>24466.68</v>
      </c>
      <c r="L1053" s="25">
        <f>IF($E1053="","",0)</f>
        <v>0</v>
      </c>
      <c r="M1053" s="25">
        <f>IF($E1053="","",$F1053+$G1053)</f>
        <v>493.81</v>
      </c>
      <c r="N1053" s="84" t="str">
        <f>IF($E1053="","","HELD")</f>
        <v>HELD</v>
      </c>
      <c r="O1053" s="23">
        <f t="shared" si="159"/>
        <v>1</v>
      </c>
    </row>
    <row r="1054" spans="1:15" ht="20" customHeight="1">
      <c r="A1054" s="22" t="str">
        <f t="shared" si="156"/>
        <v>Biweekly Held by Lender</v>
      </c>
      <c r="B1054" s="23">
        <f>IF($E1054="","",28)</f>
        <v>28</v>
      </c>
      <c r="C1054" s="24">
        <f>IF($E1054="","",Inputs!$B$9+(27*Inputs!$B$21))</f>
        <v>46670</v>
      </c>
      <c r="D1054" s="23">
        <f t="shared" si="157"/>
        <v>14</v>
      </c>
      <c r="E1054" s="25">
        <f t="shared" si="158"/>
        <v>24466.68</v>
      </c>
      <c r="F1054" s="25">
        <f>IF($E1054="","",ROUND(MIN(Comparison!$E$5,MAX(0,$E1054+$H1053+$H1054-$M1053)),2))</f>
        <v>493.81</v>
      </c>
      <c r="G1054" s="25">
        <f>IF($E1054="","",ROUND(MIN(Inputs!$B$10,MAX(0,$E1054+$H1053+$H1054-$M1053-$F1054)),2))</f>
        <v>0</v>
      </c>
      <c r="H1054" s="25">
        <f>IF($E1054="","",ROUND(IF(Inputs!$B$12="Daily Simple Interest",$E1054*Inputs!$B$6/Inputs!$B$17*$D1054,$E1054*Inputs!$B$6/Inputs!$B$20),2))</f>
        <v>68.040000000000006</v>
      </c>
      <c r="I1054" s="25">
        <f>IF($E1054="","",ROUND($L1054-$H1053-$H1054,2))</f>
        <v>851.54</v>
      </c>
      <c r="J1054" s="25">
        <f>IF($E1054="","",IF($F1054+$G1054&gt;0,Inputs!$B$11,0))</f>
        <v>0</v>
      </c>
      <c r="K1054" s="25">
        <f>IF($E1054="","",ROUND(MAX(0,$E1054-$I1054),2))</f>
        <v>23615.14</v>
      </c>
      <c r="L1054" s="25">
        <f>IF($E1054="","",$M1053+$F1054+$G1054)</f>
        <v>987.62</v>
      </c>
      <c r="M1054" s="25">
        <f>IF($E1054="","",0)</f>
        <v>0</v>
      </c>
      <c r="N1054" s="84" t="str">
        <f>IF($E1054="","",IF($K1054&lt;=0.005,"PAID OFF","POSTED"))</f>
        <v>POSTED</v>
      </c>
      <c r="O1054" s="23">
        <f t="shared" si="159"/>
        <v>1</v>
      </c>
    </row>
    <row r="1055" spans="1:15" ht="20" customHeight="1">
      <c r="A1055" s="22" t="str">
        <f t="shared" si="156"/>
        <v>Biweekly Held by Lender</v>
      </c>
      <c r="B1055" s="23">
        <f>IF($E1055="","",29)</f>
        <v>29</v>
      </c>
      <c r="C1055" s="24">
        <f>IF($E1055="","",Inputs!$B$9+(28*Inputs!$B$21))</f>
        <v>46684</v>
      </c>
      <c r="D1055" s="23">
        <f t="shared" si="157"/>
        <v>14</v>
      </c>
      <c r="E1055" s="25">
        <f t="shared" si="158"/>
        <v>23615.14</v>
      </c>
      <c r="F1055" s="25">
        <f>IF($E1055="","",ROUND(MIN(Comparison!$E$5,MAX(0,$E1055+$H1055)),2))</f>
        <v>493.81</v>
      </c>
      <c r="G1055" s="25">
        <f>IF($E1055="","",ROUND(MIN(Inputs!$B$10,MAX(0,$E1055+$H1055-$F1055)),2))</f>
        <v>0</v>
      </c>
      <c r="H1055" s="25">
        <f>IF($E1055="","",ROUND(IF(Inputs!$B$12="Daily Simple Interest",$E1055*Inputs!$B$6/Inputs!$B$17*$D1055,$E1055*Inputs!$B$6/Inputs!$B$20),2))</f>
        <v>65.67</v>
      </c>
      <c r="I1055" s="25">
        <f>IF($E1055="","",0)</f>
        <v>0</v>
      </c>
      <c r="J1055" s="25">
        <f>IF($E1055="","",IF($F1055+$G1055&gt;0,Inputs!$B$11,0))</f>
        <v>0</v>
      </c>
      <c r="K1055" s="25">
        <f>IF($E1055="","",$E1055)</f>
        <v>23615.14</v>
      </c>
      <c r="L1055" s="25">
        <f>IF($E1055="","",0)</f>
        <v>0</v>
      </c>
      <c r="M1055" s="25">
        <f>IF($E1055="","",$F1055+$G1055)</f>
        <v>493.81</v>
      </c>
      <c r="N1055" s="84" t="str">
        <f>IF($E1055="","","HELD")</f>
        <v>HELD</v>
      </c>
      <c r="O1055" s="23">
        <f t="shared" si="159"/>
        <v>1</v>
      </c>
    </row>
    <row r="1056" spans="1:15" ht="20" customHeight="1">
      <c r="A1056" s="22" t="str">
        <f t="shared" si="156"/>
        <v>Biweekly Held by Lender</v>
      </c>
      <c r="B1056" s="23">
        <f>IF($E1056="","",30)</f>
        <v>30</v>
      </c>
      <c r="C1056" s="24">
        <f>IF($E1056="","",Inputs!$B$9+(29*Inputs!$B$21))</f>
        <v>46698</v>
      </c>
      <c r="D1056" s="23">
        <f t="shared" si="157"/>
        <v>14</v>
      </c>
      <c r="E1056" s="25">
        <f t="shared" si="158"/>
        <v>23615.14</v>
      </c>
      <c r="F1056" s="25">
        <f>IF($E1056="","",ROUND(MIN(Comparison!$E$5,MAX(0,$E1056+$H1055+$H1056-$M1055)),2))</f>
        <v>493.81</v>
      </c>
      <c r="G1056" s="25">
        <f>IF($E1056="","",ROUND(MIN(Inputs!$B$10,MAX(0,$E1056+$H1055+$H1056-$M1055-$F1056)),2))</f>
        <v>0</v>
      </c>
      <c r="H1056" s="25">
        <f>IF($E1056="","",ROUND(IF(Inputs!$B$12="Daily Simple Interest",$E1056*Inputs!$B$6/Inputs!$B$17*$D1056,$E1056*Inputs!$B$6/Inputs!$B$20),2))</f>
        <v>65.67</v>
      </c>
      <c r="I1056" s="25">
        <f>IF($E1056="","",ROUND($L1056-$H1055-$H1056,2))</f>
        <v>856.28</v>
      </c>
      <c r="J1056" s="25">
        <f>IF($E1056="","",IF($F1056+$G1056&gt;0,Inputs!$B$11,0))</f>
        <v>0</v>
      </c>
      <c r="K1056" s="25">
        <f>IF($E1056="","",ROUND(MAX(0,$E1056-$I1056),2))</f>
        <v>22758.86</v>
      </c>
      <c r="L1056" s="25">
        <f>IF($E1056="","",$M1055+$F1056+$G1056)</f>
        <v>987.62</v>
      </c>
      <c r="M1056" s="25">
        <f>IF($E1056="","",0)</f>
        <v>0</v>
      </c>
      <c r="N1056" s="84" t="str">
        <f>IF($E1056="","",IF($K1056&lt;=0.005,"PAID OFF","POSTED"))</f>
        <v>POSTED</v>
      </c>
      <c r="O1056" s="23">
        <f t="shared" si="159"/>
        <v>1</v>
      </c>
    </row>
    <row r="1057" spans="1:15" ht="20" customHeight="1">
      <c r="A1057" s="22" t="str">
        <f t="shared" si="156"/>
        <v>Biweekly Held by Lender</v>
      </c>
      <c r="B1057" s="23">
        <f>IF($E1057="","",31)</f>
        <v>31</v>
      </c>
      <c r="C1057" s="24">
        <f>IF($E1057="","",Inputs!$B$9+(30*Inputs!$B$21))</f>
        <v>46712</v>
      </c>
      <c r="D1057" s="23">
        <f t="shared" si="157"/>
        <v>14</v>
      </c>
      <c r="E1057" s="25">
        <f t="shared" si="158"/>
        <v>22758.86</v>
      </c>
      <c r="F1057" s="25">
        <f>IF($E1057="","",ROUND(MIN(Comparison!$E$5,MAX(0,$E1057+$H1057)),2))</f>
        <v>493.81</v>
      </c>
      <c r="G1057" s="25">
        <f>IF($E1057="","",ROUND(MIN(Inputs!$B$10,MAX(0,$E1057+$H1057-$F1057)),2))</f>
        <v>0</v>
      </c>
      <c r="H1057" s="25">
        <f>IF($E1057="","",ROUND(IF(Inputs!$B$12="Daily Simple Interest",$E1057*Inputs!$B$6/Inputs!$B$17*$D1057,$E1057*Inputs!$B$6/Inputs!$B$20),2))</f>
        <v>63.29</v>
      </c>
      <c r="I1057" s="25">
        <f>IF($E1057="","",0)</f>
        <v>0</v>
      </c>
      <c r="J1057" s="25">
        <f>IF($E1057="","",IF($F1057+$G1057&gt;0,Inputs!$B$11,0))</f>
        <v>0</v>
      </c>
      <c r="K1057" s="25">
        <f>IF($E1057="","",$E1057)</f>
        <v>22758.86</v>
      </c>
      <c r="L1057" s="25">
        <f>IF($E1057="","",0)</f>
        <v>0</v>
      </c>
      <c r="M1057" s="25">
        <f>IF($E1057="","",$F1057+$G1057)</f>
        <v>493.81</v>
      </c>
      <c r="N1057" s="84" t="str">
        <f>IF($E1057="","","HELD")</f>
        <v>HELD</v>
      </c>
      <c r="O1057" s="23">
        <f t="shared" si="159"/>
        <v>1</v>
      </c>
    </row>
    <row r="1058" spans="1:15" ht="20" customHeight="1">
      <c r="A1058" s="22" t="str">
        <f t="shared" si="156"/>
        <v>Biweekly Held by Lender</v>
      </c>
      <c r="B1058" s="23">
        <f>IF($E1058="","",32)</f>
        <v>32</v>
      </c>
      <c r="C1058" s="24">
        <f>IF($E1058="","",Inputs!$B$9+(31*Inputs!$B$21))</f>
        <v>46726</v>
      </c>
      <c r="D1058" s="23">
        <f t="shared" si="157"/>
        <v>14</v>
      </c>
      <c r="E1058" s="25">
        <f t="shared" si="158"/>
        <v>22758.86</v>
      </c>
      <c r="F1058" s="25">
        <f>IF($E1058="","",ROUND(MIN(Comparison!$E$5,MAX(0,$E1058+$H1057+$H1058-$M1057)),2))</f>
        <v>493.81</v>
      </c>
      <c r="G1058" s="25">
        <f>IF($E1058="","",ROUND(MIN(Inputs!$B$10,MAX(0,$E1058+$H1057+$H1058-$M1057-$F1058)),2))</f>
        <v>0</v>
      </c>
      <c r="H1058" s="25">
        <f>IF($E1058="","",ROUND(IF(Inputs!$B$12="Daily Simple Interest",$E1058*Inputs!$B$6/Inputs!$B$17*$D1058,$E1058*Inputs!$B$6/Inputs!$B$20),2))</f>
        <v>63.29</v>
      </c>
      <c r="I1058" s="25">
        <f>IF($E1058="","",ROUND($L1058-$H1057-$H1058,2))</f>
        <v>861.04</v>
      </c>
      <c r="J1058" s="25">
        <f>IF($E1058="","",IF($F1058+$G1058&gt;0,Inputs!$B$11,0))</f>
        <v>0</v>
      </c>
      <c r="K1058" s="25">
        <f>IF($E1058="","",ROUND(MAX(0,$E1058-$I1058),2))</f>
        <v>21897.82</v>
      </c>
      <c r="L1058" s="25">
        <f>IF($E1058="","",$M1057+$F1058+$G1058)</f>
        <v>987.62</v>
      </c>
      <c r="M1058" s="25">
        <f>IF($E1058="","",0)</f>
        <v>0</v>
      </c>
      <c r="N1058" s="84" t="str">
        <f>IF($E1058="","",IF($K1058&lt;=0.005,"PAID OFF","POSTED"))</f>
        <v>POSTED</v>
      </c>
      <c r="O1058" s="23">
        <f t="shared" si="159"/>
        <v>1</v>
      </c>
    </row>
    <row r="1059" spans="1:15" ht="20" customHeight="1">
      <c r="A1059" s="22" t="str">
        <f t="shared" si="156"/>
        <v>Biweekly Held by Lender</v>
      </c>
      <c r="B1059" s="23">
        <f>IF($E1059="","",33)</f>
        <v>33</v>
      </c>
      <c r="C1059" s="24">
        <f>IF($E1059="","",Inputs!$B$9+(32*Inputs!$B$21))</f>
        <v>46740</v>
      </c>
      <c r="D1059" s="23">
        <f t="shared" si="157"/>
        <v>14</v>
      </c>
      <c r="E1059" s="25">
        <f t="shared" si="158"/>
        <v>21897.82</v>
      </c>
      <c r="F1059" s="25">
        <f>IF($E1059="","",ROUND(MIN(Comparison!$E$5,MAX(0,$E1059+$H1059)),2))</f>
        <v>493.81</v>
      </c>
      <c r="G1059" s="25">
        <f>IF($E1059="","",ROUND(MIN(Inputs!$B$10,MAX(0,$E1059+$H1059-$F1059)),2))</f>
        <v>0</v>
      </c>
      <c r="H1059" s="25">
        <f>IF($E1059="","",ROUND(IF(Inputs!$B$12="Daily Simple Interest",$E1059*Inputs!$B$6/Inputs!$B$17*$D1059,$E1059*Inputs!$B$6/Inputs!$B$20),2))</f>
        <v>60.89</v>
      </c>
      <c r="I1059" s="25">
        <f>IF($E1059="","",0)</f>
        <v>0</v>
      </c>
      <c r="J1059" s="25">
        <f>IF($E1059="","",IF($F1059+$G1059&gt;0,Inputs!$B$11,0))</f>
        <v>0</v>
      </c>
      <c r="K1059" s="25">
        <f>IF($E1059="","",$E1059)</f>
        <v>21897.82</v>
      </c>
      <c r="L1059" s="25">
        <f>IF($E1059="","",0)</f>
        <v>0</v>
      </c>
      <c r="M1059" s="25">
        <f>IF($E1059="","",$F1059+$G1059)</f>
        <v>493.81</v>
      </c>
      <c r="N1059" s="84" t="str">
        <f>IF($E1059="","","HELD")</f>
        <v>HELD</v>
      </c>
      <c r="O1059" s="23">
        <f t="shared" si="159"/>
        <v>1</v>
      </c>
    </row>
    <row r="1060" spans="1:15" ht="20" customHeight="1">
      <c r="A1060" s="22" t="str">
        <f t="shared" si="156"/>
        <v>Biweekly Held by Lender</v>
      </c>
      <c r="B1060" s="23">
        <f>IF($E1060="","",34)</f>
        <v>34</v>
      </c>
      <c r="C1060" s="24">
        <f>IF($E1060="","",Inputs!$B$9+(33*Inputs!$B$21))</f>
        <v>46754</v>
      </c>
      <c r="D1060" s="23">
        <f t="shared" si="157"/>
        <v>14</v>
      </c>
      <c r="E1060" s="25">
        <f t="shared" si="158"/>
        <v>21897.82</v>
      </c>
      <c r="F1060" s="25">
        <f>IF($E1060="","",ROUND(MIN(Comparison!$E$5,MAX(0,$E1060+$H1059+$H1060-$M1059)),2))</f>
        <v>493.81</v>
      </c>
      <c r="G1060" s="25">
        <f>IF($E1060="","",ROUND(MIN(Inputs!$B$10,MAX(0,$E1060+$H1059+$H1060-$M1059-$F1060)),2))</f>
        <v>0</v>
      </c>
      <c r="H1060" s="25">
        <f>IF($E1060="","",ROUND(IF(Inputs!$B$12="Daily Simple Interest",$E1060*Inputs!$B$6/Inputs!$B$17*$D1060,$E1060*Inputs!$B$6/Inputs!$B$20),2))</f>
        <v>60.89</v>
      </c>
      <c r="I1060" s="25">
        <f>IF($E1060="","",ROUND($L1060-$H1059-$H1060,2))</f>
        <v>865.84</v>
      </c>
      <c r="J1060" s="25">
        <f>IF($E1060="","",IF($F1060+$G1060&gt;0,Inputs!$B$11,0))</f>
        <v>0</v>
      </c>
      <c r="K1060" s="25">
        <f>IF($E1060="","",ROUND(MAX(0,$E1060-$I1060),2))</f>
        <v>21031.98</v>
      </c>
      <c r="L1060" s="25">
        <f>IF($E1060="","",$M1059+$F1060+$G1060)</f>
        <v>987.62</v>
      </c>
      <c r="M1060" s="25">
        <f>IF($E1060="","",0)</f>
        <v>0</v>
      </c>
      <c r="N1060" s="84" t="str">
        <f>IF($E1060="","",IF($K1060&lt;=0.005,"PAID OFF","POSTED"))</f>
        <v>POSTED</v>
      </c>
      <c r="O1060" s="23">
        <f t="shared" si="159"/>
        <v>1</v>
      </c>
    </row>
    <row r="1061" spans="1:15" ht="20" customHeight="1">
      <c r="A1061" s="22" t="str">
        <f t="shared" si="156"/>
        <v>Biweekly Held by Lender</v>
      </c>
      <c r="B1061" s="23">
        <f>IF($E1061="","",35)</f>
        <v>35</v>
      </c>
      <c r="C1061" s="24">
        <f>IF($E1061="","",Inputs!$B$9+(34*Inputs!$B$21))</f>
        <v>46768</v>
      </c>
      <c r="D1061" s="23">
        <f t="shared" si="157"/>
        <v>14</v>
      </c>
      <c r="E1061" s="25">
        <f t="shared" si="158"/>
        <v>21031.98</v>
      </c>
      <c r="F1061" s="25">
        <f>IF($E1061="","",ROUND(MIN(Comparison!$E$5,MAX(0,$E1061+$H1061)),2))</f>
        <v>493.81</v>
      </c>
      <c r="G1061" s="25">
        <f>IF($E1061="","",ROUND(MIN(Inputs!$B$10,MAX(0,$E1061+$H1061-$F1061)),2))</f>
        <v>0</v>
      </c>
      <c r="H1061" s="25">
        <f>IF($E1061="","",ROUND(IF(Inputs!$B$12="Daily Simple Interest",$E1061*Inputs!$B$6/Inputs!$B$17*$D1061,$E1061*Inputs!$B$6/Inputs!$B$20),2))</f>
        <v>58.49</v>
      </c>
      <c r="I1061" s="25">
        <f>IF($E1061="","",0)</f>
        <v>0</v>
      </c>
      <c r="J1061" s="25">
        <f>IF($E1061="","",IF($F1061+$G1061&gt;0,Inputs!$B$11,0))</f>
        <v>0</v>
      </c>
      <c r="K1061" s="25">
        <f>IF($E1061="","",$E1061)</f>
        <v>21031.98</v>
      </c>
      <c r="L1061" s="25">
        <f>IF($E1061="","",0)</f>
        <v>0</v>
      </c>
      <c r="M1061" s="25">
        <f>IF($E1061="","",$F1061+$G1061)</f>
        <v>493.81</v>
      </c>
      <c r="N1061" s="84" t="str">
        <f>IF($E1061="","","HELD")</f>
        <v>HELD</v>
      </c>
      <c r="O1061" s="23">
        <f t="shared" si="159"/>
        <v>1</v>
      </c>
    </row>
    <row r="1062" spans="1:15" ht="20" customHeight="1">
      <c r="A1062" s="22" t="str">
        <f t="shared" si="156"/>
        <v>Biweekly Held by Lender</v>
      </c>
      <c r="B1062" s="23">
        <f>IF($E1062="","",36)</f>
        <v>36</v>
      </c>
      <c r="C1062" s="24">
        <f>IF($E1062="","",Inputs!$B$9+(35*Inputs!$B$21))</f>
        <v>46782</v>
      </c>
      <c r="D1062" s="23">
        <f t="shared" si="157"/>
        <v>14</v>
      </c>
      <c r="E1062" s="25">
        <f t="shared" si="158"/>
        <v>21031.98</v>
      </c>
      <c r="F1062" s="25">
        <f>IF($E1062="","",ROUND(MIN(Comparison!$E$5,MAX(0,$E1062+$H1061+$H1062-$M1061)),2))</f>
        <v>493.81</v>
      </c>
      <c r="G1062" s="25">
        <f>IF($E1062="","",ROUND(MIN(Inputs!$B$10,MAX(0,$E1062+$H1061+$H1062-$M1061-$F1062)),2))</f>
        <v>0</v>
      </c>
      <c r="H1062" s="25">
        <f>IF($E1062="","",ROUND(IF(Inputs!$B$12="Daily Simple Interest",$E1062*Inputs!$B$6/Inputs!$B$17*$D1062,$E1062*Inputs!$B$6/Inputs!$B$20),2))</f>
        <v>58.49</v>
      </c>
      <c r="I1062" s="25">
        <f>IF($E1062="","",ROUND($L1062-$H1061-$H1062,2))</f>
        <v>870.64</v>
      </c>
      <c r="J1062" s="25">
        <f>IF($E1062="","",IF($F1062+$G1062&gt;0,Inputs!$B$11,0))</f>
        <v>0</v>
      </c>
      <c r="K1062" s="25">
        <f>IF($E1062="","",ROUND(MAX(0,$E1062-$I1062),2))</f>
        <v>20161.34</v>
      </c>
      <c r="L1062" s="25">
        <f>IF($E1062="","",$M1061+$F1062+$G1062)</f>
        <v>987.62</v>
      </c>
      <c r="M1062" s="25">
        <f>IF($E1062="","",0)</f>
        <v>0</v>
      </c>
      <c r="N1062" s="84" t="str">
        <f>IF($E1062="","",IF($K1062&lt;=0.005,"PAID OFF","POSTED"))</f>
        <v>POSTED</v>
      </c>
      <c r="O1062" s="23">
        <f t="shared" si="159"/>
        <v>1</v>
      </c>
    </row>
    <row r="1063" spans="1:15" ht="20" customHeight="1">
      <c r="A1063" s="22" t="str">
        <f t="shared" si="156"/>
        <v>Biweekly Held by Lender</v>
      </c>
      <c r="B1063" s="23">
        <f>IF($E1063="","",37)</f>
        <v>37</v>
      </c>
      <c r="C1063" s="24">
        <f>IF($E1063="","",Inputs!$B$9+(36*Inputs!$B$21))</f>
        <v>46796</v>
      </c>
      <c r="D1063" s="23">
        <f t="shared" si="157"/>
        <v>14</v>
      </c>
      <c r="E1063" s="25">
        <f t="shared" si="158"/>
        <v>20161.34</v>
      </c>
      <c r="F1063" s="25">
        <f>IF($E1063="","",ROUND(MIN(Comparison!$E$5,MAX(0,$E1063+$H1063)),2))</f>
        <v>493.81</v>
      </c>
      <c r="G1063" s="25">
        <f>IF($E1063="","",ROUND(MIN(Inputs!$B$10,MAX(0,$E1063+$H1063-$F1063)),2))</f>
        <v>0</v>
      </c>
      <c r="H1063" s="25">
        <f>IF($E1063="","",ROUND(IF(Inputs!$B$12="Daily Simple Interest",$E1063*Inputs!$B$6/Inputs!$B$17*$D1063,$E1063*Inputs!$B$6/Inputs!$B$20),2))</f>
        <v>56.07</v>
      </c>
      <c r="I1063" s="25">
        <f>IF($E1063="","",0)</f>
        <v>0</v>
      </c>
      <c r="J1063" s="25">
        <f>IF($E1063="","",IF($F1063+$G1063&gt;0,Inputs!$B$11,0))</f>
        <v>0</v>
      </c>
      <c r="K1063" s="25">
        <f>IF($E1063="","",$E1063)</f>
        <v>20161.34</v>
      </c>
      <c r="L1063" s="25">
        <f>IF($E1063="","",0)</f>
        <v>0</v>
      </c>
      <c r="M1063" s="25">
        <f>IF($E1063="","",$F1063+$G1063)</f>
        <v>493.81</v>
      </c>
      <c r="N1063" s="84" t="str">
        <f>IF($E1063="","","HELD")</f>
        <v>HELD</v>
      </c>
      <c r="O1063" s="23">
        <f t="shared" si="159"/>
        <v>1</v>
      </c>
    </row>
    <row r="1064" spans="1:15" ht="20" customHeight="1">
      <c r="A1064" s="22" t="str">
        <f t="shared" si="156"/>
        <v>Biweekly Held by Lender</v>
      </c>
      <c r="B1064" s="23">
        <f>IF($E1064="","",38)</f>
        <v>38</v>
      </c>
      <c r="C1064" s="24">
        <f>IF($E1064="","",Inputs!$B$9+(37*Inputs!$B$21))</f>
        <v>46810</v>
      </c>
      <c r="D1064" s="23">
        <f t="shared" si="157"/>
        <v>14</v>
      </c>
      <c r="E1064" s="25">
        <f t="shared" si="158"/>
        <v>20161.34</v>
      </c>
      <c r="F1064" s="25">
        <f>IF($E1064="","",ROUND(MIN(Comparison!$E$5,MAX(0,$E1064+$H1063+$H1064-$M1063)),2))</f>
        <v>493.81</v>
      </c>
      <c r="G1064" s="25">
        <f>IF($E1064="","",ROUND(MIN(Inputs!$B$10,MAX(0,$E1064+$H1063+$H1064-$M1063-$F1064)),2))</f>
        <v>0</v>
      </c>
      <c r="H1064" s="25">
        <f>IF($E1064="","",ROUND(IF(Inputs!$B$12="Daily Simple Interest",$E1064*Inputs!$B$6/Inputs!$B$17*$D1064,$E1064*Inputs!$B$6/Inputs!$B$20),2))</f>
        <v>56.07</v>
      </c>
      <c r="I1064" s="25">
        <f>IF($E1064="","",ROUND($L1064-$H1063-$H1064,2))</f>
        <v>875.48</v>
      </c>
      <c r="J1064" s="25">
        <f>IF($E1064="","",IF($F1064+$G1064&gt;0,Inputs!$B$11,0))</f>
        <v>0</v>
      </c>
      <c r="K1064" s="25">
        <f>IF($E1064="","",ROUND(MAX(0,$E1064-$I1064),2))</f>
        <v>19285.86</v>
      </c>
      <c r="L1064" s="25">
        <f>IF($E1064="","",$M1063+$F1064+$G1064)</f>
        <v>987.62</v>
      </c>
      <c r="M1064" s="25">
        <f>IF($E1064="","",0)</f>
        <v>0</v>
      </c>
      <c r="N1064" s="84" t="str">
        <f>IF($E1064="","",IF($K1064&lt;=0.005,"PAID OFF","POSTED"))</f>
        <v>POSTED</v>
      </c>
      <c r="O1064" s="23">
        <f t="shared" si="159"/>
        <v>1</v>
      </c>
    </row>
    <row r="1065" spans="1:15" ht="20" customHeight="1">
      <c r="A1065" s="22" t="str">
        <f t="shared" si="156"/>
        <v>Biweekly Held by Lender</v>
      </c>
      <c r="B1065" s="23">
        <f>IF($E1065="","",39)</f>
        <v>39</v>
      </c>
      <c r="C1065" s="24">
        <f>IF($E1065="","",Inputs!$B$9+(38*Inputs!$B$21))</f>
        <v>46824</v>
      </c>
      <c r="D1065" s="23">
        <f t="shared" si="157"/>
        <v>14</v>
      </c>
      <c r="E1065" s="25">
        <f t="shared" si="158"/>
        <v>19285.86</v>
      </c>
      <c r="F1065" s="25">
        <f>IF($E1065="","",ROUND(MIN(Comparison!$E$5,MAX(0,$E1065+$H1065)),2))</f>
        <v>493.81</v>
      </c>
      <c r="G1065" s="25">
        <f>IF($E1065="","",ROUND(MIN(Inputs!$B$10,MAX(0,$E1065+$H1065-$F1065)),2))</f>
        <v>0</v>
      </c>
      <c r="H1065" s="25">
        <f>IF($E1065="","",ROUND(IF(Inputs!$B$12="Daily Simple Interest",$E1065*Inputs!$B$6/Inputs!$B$17*$D1065,$E1065*Inputs!$B$6/Inputs!$B$20),2))</f>
        <v>53.63</v>
      </c>
      <c r="I1065" s="25">
        <f>IF($E1065="","",0)</f>
        <v>0</v>
      </c>
      <c r="J1065" s="25">
        <f>IF($E1065="","",IF($F1065+$G1065&gt;0,Inputs!$B$11,0))</f>
        <v>0</v>
      </c>
      <c r="K1065" s="25">
        <f>IF($E1065="","",$E1065)</f>
        <v>19285.86</v>
      </c>
      <c r="L1065" s="25">
        <f>IF($E1065="","",0)</f>
        <v>0</v>
      </c>
      <c r="M1065" s="25">
        <f>IF($E1065="","",$F1065+$G1065)</f>
        <v>493.81</v>
      </c>
      <c r="N1065" s="84" t="str">
        <f>IF($E1065="","","HELD")</f>
        <v>HELD</v>
      </c>
      <c r="O1065" s="23">
        <f t="shared" si="159"/>
        <v>1</v>
      </c>
    </row>
    <row r="1066" spans="1:15" ht="20" customHeight="1">
      <c r="A1066" s="22" t="str">
        <f t="shared" si="156"/>
        <v>Biweekly Held by Lender</v>
      </c>
      <c r="B1066" s="23">
        <f>IF($E1066="","",40)</f>
        <v>40</v>
      </c>
      <c r="C1066" s="24">
        <f>IF($E1066="","",Inputs!$B$9+(39*Inputs!$B$21))</f>
        <v>46838</v>
      </c>
      <c r="D1066" s="23">
        <f t="shared" si="157"/>
        <v>14</v>
      </c>
      <c r="E1066" s="25">
        <f t="shared" si="158"/>
        <v>19285.86</v>
      </c>
      <c r="F1066" s="25">
        <f>IF($E1066="","",ROUND(MIN(Comparison!$E$5,MAX(0,$E1066+$H1065+$H1066-$M1065)),2))</f>
        <v>493.81</v>
      </c>
      <c r="G1066" s="25">
        <f>IF($E1066="","",ROUND(MIN(Inputs!$B$10,MAX(0,$E1066+$H1065+$H1066-$M1065-$F1066)),2))</f>
        <v>0</v>
      </c>
      <c r="H1066" s="25">
        <f>IF($E1066="","",ROUND(IF(Inputs!$B$12="Daily Simple Interest",$E1066*Inputs!$B$6/Inputs!$B$17*$D1066,$E1066*Inputs!$B$6/Inputs!$B$20),2))</f>
        <v>53.63</v>
      </c>
      <c r="I1066" s="25">
        <f>IF($E1066="","",ROUND($L1066-$H1065-$H1066,2))</f>
        <v>880.36</v>
      </c>
      <c r="J1066" s="25">
        <f>IF($E1066="","",IF($F1066+$G1066&gt;0,Inputs!$B$11,0))</f>
        <v>0</v>
      </c>
      <c r="K1066" s="25">
        <f>IF($E1066="","",ROUND(MAX(0,$E1066-$I1066),2))</f>
        <v>18405.5</v>
      </c>
      <c r="L1066" s="25">
        <f>IF($E1066="","",$M1065+$F1066+$G1066)</f>
        <v>987.62</v>
      </c>
      <c r="M1066" s="25">
        <f>IF($E1066="","",0)</f>
        <v>0</v>
      </c>
      <c r="N1066" s="84" t="str">
        <f>IF($E1066="","",IF($K1066&lt;=0.005,"PAID OFF","POSTED"))</f>
        <v>POSTED</v>
      </c>
      <c r="O1066" s="23">
        <f t="shared" si="159"/>
        <v>1</v>
      </c>
    </row>
    <row r="1067" spans="1:15" ht="20" customHeight="1">
      <c r="A1067" s="22" t="str">
        <f t="shared" si="156"/>
        <v>Biweekly Held by Lender</v>
      </c>
      <c r="B1067" s="23">
        <f>IF($E1067="","",41)</f>
        <v>41</v>
      </c>
      <c r="C1067" s="24">
        <f>IF($E1067="","",Inputs!$B$9+(40*Inputs!$B$21))</f>
        <v>46852</v>
      </c>
      <c r="D1067" s="23">
        <f t="shared" si="157"/>
        <v>14</v>
      </c>
      <c r="E1067" s="25">
        <f t="shared" si="158"/>
        <v>18405.5</v>
      </c>
      <c r="F1067" s="25">
        <f>IF($E1067="","",ROUND(MIN(Comparison!$E$5,MAX(0,$E1067+$H1067)),2))</f>
        <v>493.81</v>
      </c>
      <c r="G1067" s="25">
        <f>IF($E1067="","",ROUND(MIN(Inputs!$B$10,MAX(0,$E1067+$H1067-$F1067)),2))</f>
        <v>0</v>
      </c>
      <c r="H1067" s="25">
        <f>IF($E1067="","",ROUND(IF(Inputs!$B$12="Daily Simple Interest",$E1067*Inputs!$B$6/Inputs!$B$17*$D1067,$E1067*Inputs!$B$6/Inputs!$B$20),2))</f>
        <v>51.18</v>
      </c>
      <c r="I1067" s="25">
        <f>IF($E1067="","",0)</f>
        <v>0</v>
      </c>
      <c r="J1067" s="25">
        <f>IF($E1067="","",IF($F1067+$G1067&gt;0,Inputs!$B$11,0))</f>
        <v>0</v>
      </c>
      <c r="K1067" s="25">
        <f>IF($E1067="","",$E1067)</f>
        <v>18405.5</v>
      </c>
      <c r="L1067" s="25">
        <f>IF($E1067="","",0)</f>
        <v>0</v>
      </c>
      <c r="M1067" s="25">
        <f>IF($E1067="","",$F1067+$G1067)</f>
        <v>493.81</v>
      </c>
      <c r="N1067" s="84" t="str">
        <f>IF($E1067="","","HELD")</f>
        <v>HELD</v>
      </c>
      <c r="O1067" s="23">
        <f t="shared" si="159"/>
        <v>1</v>
      </c>
    </row>
    <row r="1068" spans="1:15" ht="20" customHeight="1">
      <c r="A1068" s="22" t="str">
        <f t="shared" si="156"/>
        <v>Biweekly Held by Lender</v>
      </c>
      <c r="B1068" s="23">
        <f>IF($E1068="","",42)</f>
        <v>42</v>
      </c>
      <c r="C1068" s="24">
        <f>IF($E1068="","",Inputs!$B$9+(41*Inputs!$B$21))</f>
        <v>46866</v>
      </c>
      <c r="D1068" s="23">
        <f t="shared" si="157"/>
        <v>14</v>
      </c>
      <c r="E1068" s="25">
        <f t="shared" si="158"/>
        <v>18405.5</v>
      </c>
      <c r="F1068" s="25">
        <f>IF($E1068="","",ROUND(MIN(Comparison!$E$5,MAX(0,$E1068+$H1067+$H1068-$M1067)),2))</f>
        <v>493.81</v>
      </c>
      <c r="G1068" s="25">
        <f>IF($E1068="","",ROUND(MIN(Inputs!$B$10,MAX(0,$E1068+$H1067+$H1068-$M1067-$F1068)),2))</f>
        <v>0</v>
      </c>
      <c r="H1068" s="25">
        <f>IF($E1068="","",ROUND(IF(Inputs!$B$12="Daily Simple Interest",$E1068*Inputs!$B$6/Inputs!$B$17*$D1068,$E1068*Inputs!$B$6/Inputs!$B$20),2))</f>
        <v>51.18</v>
      </c>
      <c r="I1068" s="25">
        <f>IF($E1068="","",ROUND($L1068-$H1067-$H1068,2))</f>
        <v>885.26</v>
      </c>
      <c r="J1068" s="25">
        <f>IF($E1068="","",IF($F1068+$G1068&gt;0,Inputs!$B$11,0))</f>
        <v>0</v>
      </c>
      <c r="K1068" s="25">
        <f>IF($E1068="","",ROUND(MAX(0,$E1068-$I1068),2))</f>
        <v>17520.240000000002</v>
      </c>
      <c r="L1068" s="25">
        <f>IF($E1068="","",$M1067+$F1068+$G1068)</f>
        <v>987.62</v>
      </c>
      <c r="M1068" s="25">
        <f>IF($E1068="","",0)</f>
        <v>0</v>
      </c>
      <c r="N1068" s="84" t="str">
        <f>IF($E1068="","",IF($K1068&lt;=0.005,"PAID OFF","POSTED"))</f>
        <v>POSTED</v>
      </c>
      <c r="O1068" s="23">
        <f t="shared" si="159"/>
        <v>1</v>
      </c>
    </row>
    <row r="1069" spans="1:15" ht="20" customHeight="1">
      <c r="A1069" s="22" t="str">
        <f t="shared" si="156"/>
        <v>Biweekly Held by Lender</v>
      </c>
      <c r="B1069" s="23">
        <f>IF($E1069="","",43)</f>
        <v>43</v>
      </c>
      <c r="C1069" s="24">
        <f>IF($E1069="","",Inputs!$B$9+(42*Inputs!$B$21))</f>
        <v>46880</v>
      </c>
      <c r="D1069" s="23">
        <f t="shared" si="157"/>
        <v>14</v>
      </c>
      <c r="E1069" s="25">
        <f t="shared" si="158"/>
        <v>17520.240000000002</v>
      </c>
      <c r="F1069" s="25">
        <f>IF($E1069="","",ROUND(MIN(Comparison!$E$5,MAX(0,$E1069+$H1069)),2))</f>
        <v>493.81</v>
      </c>
      <c r="G1069" s="25">
        <f>IF($E1069="","",ROUND(MIN(Inputs!$B$10,MAX(0,$E1069+$H1069-$F1069)),2))</f>
        <v>0</v>
      </c>
      <c r="H1069" s="25">
        <f>IF($E1069="","",ROUND(IF(Inputs!$B$12="Daily Simple Interest",$E1069*Inputs!$B$6/Inputs!$B$17*$D1069,$E1069*Inputs!$B$6/Inputs!$B$20),2))</f>
        <v>48.72</v>
      </c>
      <c r="I1069" s="25">
        <f>IF($E1069="","",0)</f>
        <v>0</v>
      </c>
      <c r="J1069" s="25">
        <f>IF($E1069="","",IF($F1069+$G1069&gt;0,Inputs!$B$11,0))</f>
        <v>0</v>
      </c>
      <c r="K1069" s="25">
        <f>IF($E1069="","",$E1069)</f>
        <v>17520.240000000002</v>
      </c>
      <c r="L1069" s="25">
        <f>IF($E1069="","",0)</f>
        <v>0</v>
      </c>
      <c r="M1069" s="25">
        <f>IF($E1069="","",$F1069+$G1069)</f>
        <v>493.81</v>
      </c>
      <c r="N1069" s="84" t="str">
        <f>IF($E1069="","","HELD")</f>
        <v>HELD</v>
      </c>
      <c r="O1069" s="23">
        <f t="shared" si="159"/>
        <v>1</v>
      </c>
    </row>
    <row r="1070" spans="1:15" ht="20" customHeight="1">
      <c r="A1070" s="22" t="str">
        <f t="shared" si="156"/>
        <v>Biweekly Held by Lender</v>
      </c>
      <c r="B1070" s="23">
        <f>IF($E1070="","",44)</f>
        <v>44</v>
      </c>
      <c r="C1070" s="24">
        <f>IF($E1070="","",Inputs!$B$9+(43*Inputs!$B$21))</f>
        <v>46894</v>
      </c>
      <c r="D1070" s="23">
        <f t="shared" si="157"/>
        <v>14</v>
      </c>
      <c r="E1070" s="25">
        <f t="shared" si="158"/>
        <v>17520.240000000002</v>
      </c>
      <c r="F1070" s="25">
        <f>IF($E1070="","",ROUND(MIN(Comparison!$E$5,MAX(0,$E1070+$H1069+$H1070-$M1069)),2))</f>
        <v>493.81</v>
      </c>
      <c r="G1070" s="25">
        <f>IF($E1070="","",ROUND(MIN(Inputs!$B$10,MAX(0,$E1070+$H1069+$H1070-$M1069-$F1070)),2))</f>
        <v>0</v>
      </c>
      <c r="H1070" s="25">
        <f>IF($E1070="","",ROUND(IF(Inputs!$B$12="Daily Simple Interest",$E1070*Inputs!$B$6/Inputs!$B$17*$D1070,$E1070*Inputs!$B$6/Inputs!$B$20),2))</f>
        <v>48.72</v>
      </c>
      <c r="I1070" s="25">
        <f>IF($E1070="","",ROUND($L1070-$H1069-$H1070,2))</f>
        <v>890.18</v>
      </c>
      <c r="J1070" s="25">
        <f>IF($E1070="","",IF($F1070+$G1070&gt;0,Inputs!$B$11,0))</f>
        <v>0</v>
      </c>
      <c r="K1070" s="25">
        <f>IF($E1070="","",ROUND(MAX(0,$E1070-$I1070),2))</f>
        <v>16630.060000000001</v>
      </c>
      <c r="L1070" s="25">
        <f>IF($E1070="","",$M1069+$F1070+$G1070)</f>
        <v>987.62</v>
      </c>
      <c r="M1070" s="25">
        <f>IF($E1070="","",0)</f>
        <v>0</v>
      </c>
      <c r="N1070" s="84" t="str">
        <f>IF($E1070="","",IF($K1070&lt;=0.005,"PAID OFF","POSTED"))</f>
        <v>POSTED</v>
      </c>
      <c r="O1070" s="23">
        <f t="shared" si="159"/>
        <v>1</v>
      </c>
    </row>
    <row r="1071" spans="1:15" ht="20" customHeight="1">
      <c r="A1071" s="22" t="str">
        <f t="shared" si="156"/>
        <v>Biweekly Held by Lender</v>
      </c>
      <c r="B1071" s="23">
        <f>IF($E1071="","",45)</f>
        <v>45</v>
      </c>
      <c r="C1071" s="24">
        <f>IF($E1071="","",Inputs!$B$9+(44*Inputs!$B$21))</f>
        <v>46908</v>
      </c>
      <c r="D1071" s="23">
        <f t="shared" si="157"/>
        <v>14</v>
      </c>
      <c r="E1071" s="25">
        <f t="shared" si="158"/>
        <v>16630.060000000001</v>
      </c>
      <c r="F1071" s="25">
        <f>IF($E1071="","",ROUND(MIN(Comparison!$E$5,MAX(0,$E1071+$H1071)),2))</f>
        <v>493.81</v>
      </c>
      <c r="G1071" s="25">
        <f>IF($E1071="","",ROUND(MIN(Inputs!$B$10,MAX(0,$E1071+$H1071-$F1071)),2))</f>
        <v>0</v>
      </c>
      <c r="H1071" s="25">
        <f>IF($E1071="","",ROUND(IF(Inputs!$B$12="Daily Simple Interest",$E1071*Inputs!$B$6/Inputs!$B$17*$D1071,$E1071*Inputs!$B$6/Inputs!$B$20),2))</f>
        <v>46.25</v>
      </c>
      <c r="I1071" s="25">
        <f>IF($E1071="","",0)</f>
        <v>0</v>
      </c>
      <c r="J1071" s="25">
        <f>IF($E1071="","",IF($F1071+$G1071&gt;0,Inputs!$B$11,0))</f>
        <v>0</v>
      </c>
      <c r="K1071" s="25">
        <f>IF($E1071="","",$E1071)</f>
        <v>16630.060000000001</v>
      </c>
      <c r="L1071" s="25">
        <f>IF($E1071="","",0)</f>
        <v>0</v>
      </c>
      <c r="M1071" s="25">
        <f>IF($E1071="","",$F1071+$G1071)</f>
        <v>493.81</v>
      </c>
      <c r="N1071" s="84" t="str">
        <f>IF($E1071="","","HELD")</f>
        <v>HELD</v>
      </c>
      <c r="O1071" s="23">
        <f t="shared" si="159"/>
        <v>1</v>
      </c>
    </row>
    <row r="1072" spans="1:15" ht="20" customHeight="1">
      <c r="A1072" s="22" t="str">
        <f t="shared" si="156"/>
        <v>Biweekly Held by Lender</v>
      </c>
      <c r="B1072" s="23">
        <f>IF($E1072="","",46)</f>
        <v>46</v>
      </c>
      <c r="C1072" s="24">
        <f>IF($E1072="","",Inputs!$B$9+(45*Inputs!$B$21))</f>
        <v>46922</v>
      </c>
      <c r="D1072" s="23">
        <f t="shared" si="157"/>
        <v>14</v>
      </c>
      <c r="E1072" s="25">
        <f t="shared" si="158"/>
        <v>16630.060000000001</v>
      </c>
      <c r="F1072" s="25">
        <f>IF($E1072="","",ROUND(MIN(Comparison!$E$5,MAX(0,$E1072+$H1071+$H1072-$M1071)),2))</f>
        <v>493.81</v>
      </c>
      <c r="G1072" s="25">
        <f>IF($E1072="","",ROUND(MIN(Inputs!$B$10,MAX(0,$E1072+$H1071+$H1072-$M1071-$F1072)),2))</f>
        <v>0</v>
      </c>
      <c r="H1072" s="25">
        <f>IF($E1072="","",ROUND(IF(Inputs!$B$12="Daily Simple Interest",$E1072*Inputs!$B$6/Inputs!$B$17*$D1072,$E1072*Inputs!$B$6/Inputs!$B$20),2))</f>
        <v>46.25</v>
      </c>
      <c r="I1072" s="25">
        <f>IF($E1072="","",ROUND($L1072-$H1071-$H1072,2))</f>
        <v>895.12</v>
      </c>
      <c r="J1072" s="25">
        <f>IF($E1072="","",IF($F1072+$G1072&gt;0,Inputs!$B$11,0))</f>
        <v>0</v>
      </c>
      <c r="K1072" s="25">
        <f>IF($E1072="","",ROUND(MAX(0,$E1072-$I1072),2))</f>
        <v>15734.94</v>
      </c>
      <c r="L1072" s="25">
        <f>IF($E1072="","",$M1071+$F1072+$G1072)</f>
        <v>987.62</v>
      </c>
      <c r="M1072" s="25">
        <f>IF($E1072="","",0)</f>
        <v>0</v>
      </c>
      <c r="N1072" s="84" t="str">
        <f>IF($E1072="","",IF($K1072&lt;=0.005,"PAID OFF","POSTED"))</f>
        <v>POSTED</v>
      </c>
      <c r="O1072" s="23">
        <f t="shared" si="159"/>
        <v>1</v>
      </c>
    </row>
    <row r="1073" spans="1:15" ht="20" customHeight="1">
      <c r="A1073" s="22" t="str">
        <f t="shared" si="156"/>
        <v>Biweekly Held by Lender</v>
      </c>
      <c r="B1073" s="23">
        <f>IF($E1073="","",47)</f>
        <v>47</v>
      </c>
      <c r="C1073" s="24">
        <f>IF($E1073="","",Inputs!$B$9+(46*Inputs!$B$21))</f>
        <v>46936</v>
      </c>
      <c r="D1073" s="23">
        <f t="shared" si="157"/>
        <v>14</v>
      </c>
      <c r="E1073" s="25">
        <f t="shared" si="158"/>
        <v>15734.94</v>
      </c>
      <c r="F1073" s="25">
        <f>IF($E1073="","",ROUND(MIN(Comparison!$E$5,MAX(0,$E1073+$H1073)),2))</f>
        <v>493.81</v>
      </c>
      <c r="G1073" s="25">
        <f>IF($E1073="","",ROUND(MIN(Inputs!$B$10,MAX(0,$E1073+$H1073-$F1073)),2))</f>
        <v>0</v>
      </c>
      <c r="H1073" s="25">
        <f>IF($E1073="","",ROUND(IF(Inputs!$B$12="Daily Simple Interest",$E1073*Inputs!$B$6/Inputs!$B$17*$D1073,$E1073*Inputs!$B$6/Inputs!$B$20),2))</f>
        <v>43.76</v>
      </c>
      <c r="I1073" s="25">
        <f>IF($E1073="","",0)</f>
        <v>0</v>
      </c>
      <c r="J1073" s="25">
        <f>IF($E1073="","",IF($F1073+$G1073&gt;0,Inputs!$B$11,0))</f>
        <v>0</v>
      </c>
      <c r="K1073" s="25">
        <f>IF($E1073="","",$E1073)</f>
        <v>15734.94</v>
      </c>
      <c r="L1073" s="25">
        <f>IF($E1073="","",0)</f>
        <v>0</v>
      </c>
      <c r="M1073" s="25">
        <f>IF($E1073="","",$F1073+$G1073)</f>
        <v>493.81</v>
      </c>
      <c r="N1073" s="84" t="str">
        <f>IF($E1073="","","HELD")</f>
        <v>HELD</v>
      </c>
      <c r="O1073" s="23">
        <f t="shared" si="159"/>
        <v>1</v>
      </c>
    </row>
    <row r="1074" spans="1:15" ht="20" customHeight="1">
      <c r="A1074" s="22" t="str">
        <f t="shared" si="156"/>
        <v>Biweekly Held by Lender</v>
      </c>
      <c r="B1074" s="23">
        <f>IF($E1074="","",48)</f>
        <v>48</v>
      </c>
      <c r="C1074" s="24">
        <f>IF($E1074="","",Inputs!$B$9+(47*Inputs!$B$21))</f>
        <v>46950</v>
      </c>
      <c r="D1074" s="23">
        <f t="shared" si="157"/>
        <v>14</v>
      </c>
      <c r="E1074" s="25">
        <f t="shared" si="158"/>
        <v>15734.94</v>
      </c>
      <c r="F1074" s="25">
        <f>IF($E1074="","",ROUND(MIN(Comparison!$E$5,MAX(0,$E1074+$H1073+$H1074-$M1073)),2))</f>
        <v>493.81</v>
      </c>
      <c r="G1074" s="25">
        <f>IF($E1074="","",ROUND(MIN(Inputs!$B$10,MAX(0,$E1074+$H1073+$H1074-$M1073-$F1074)),2))</f>
        <v>0</v>
      </c>
      <c r="H1074" s="25">
        <f>IF($E1074="","",ROUND(IF(Inputs!$B$12="Daily Simple Interest",$E1074*Inputs!$B$6/Inputs!$B$17*$D1074,$E1074*Inputs!$B$6/Inputs!$B$20),2))</f>
        <v>43.76</v>
      </c>
      <c r="I1074" s="25">
        <f>IF($E1074="","",ROUND($L1074-$H1073-$H1074,2))</f>
        <v>900.1</v>
      </c>
      <c r="J1074" s="25">
        <f>IF($E1074="","",IF($F1074+$G1074&gt;0,Inputs!$B$11,0))</f>
        <v>0</v>
      </c>
      <c r="K1074" s="25">
        <f>IF($E1074="","",ROUND(MAX(0,$E1074-$I1074),2))</f>
        <v>14834.84</v>
      </c>
      <c r="L1074" s="25">
        <f>IF($E1074="","",$M1073+$F1074+$G1074)</f>
        <v>987.62</v>
      </c>
      <c r="M1074" s="25">
        <f>IF($E1074="","",0)</f>
        <v>0</v>
      </c>
      <c r="N1074" s="84" t="str">
        <f>IF($E1074="","",IF($K1074&lt;=0.005,"PAID OFF","POSTED"))</f>
        <v>POSTED</v>
      </c>
      <c r="O1074" s="23">
        <f t="shared" si="159"/>
        <v>1</v>
      </c>
    </row>
    <row r="1075" spans="1:15" ht="20" customHeight="1">
      <c r="A1075" s="22" t="str">
        <f t="shared" si="156"/>
        <v>Biweekly Held by Lender</v>
      </c>
      <c r="B1075" s="23">
        <f>IF($E1075="","",49)</f>
        <v>49</v>
      </c>
      <c r="C1075" s="24">
        <f>IF($E1075="","",Inputs!$B$9+(48*Inputs!$B$21))</f>
        <v>46964</v>
      </c>
      <c r="D1075" s="23">
        <f t="shared" si="157"/>
        <v>14</v>
      </c>
      <c r="E1075" s="25">
        <f t="shared" si="158"/>
        <v>14834.84</v>
      </c>
      <c r="F1075" s="25">
        <f>IF($E1075="","",ROUND(MIN(Comparison!$E$5,MAX(0,$E1075+$H1075)),2))</f>
        <v>493.81</v>
      </c>
      <c r="G1075" s="25">
        <f>IF($E1075="","",ROUND(MIN(Inputs!$B$10,MAX(0,$E1075+$H1075-$F1075)),2))</f>
        <v>0</v>
      </c>
      <c r="H1075" s="25">
        <f>IF($E1075="","",ROUND(IF(Inputs!$B$12="Daily Simple Interest",$E1075*Inputs!$B$6/Inputs!$B$17*$D1075,$E1075*Inputs!$B$6/Inputs!$B$20),2))</f>
        <v>41.25</v>
      </c>
      <c r="I1075" s="25">
        <f>IF($E1075="","",0)</f>
        <v>0</v>
      </c>
      <c r="J1075" s="25">
        <f>IF($E1075="","",IF($F1075+$G1075&gt;0,Inputs!$B$11,0))</f>
        <v>0</v>
      </c>
      <c r="K1075" s="25">
        <f>IF($E1075="","",$E1075)</f>
        <v>14834.84</v>
      </c>
      <c r="L1075" s="25">
        <f>IF($E1075="","",0)</f>
        <v>0</v>
      </c>
      <c r="M1075" s="25">
        <f>IF($E1075="","",$F1075+$G1075)</f>
        <v>493.81</v>
      </c>
      <c r="N1075" s="84" t="str">
        <f>IF($E1075="","","HELD")</f>
        <v>HELD</v>
      </c>
      <c r="O1075" s="23">
        <f t="shared" si="159"/>
        <v>1</v>
      </c>
    </row>
    <row r="1076" spans="1:15" ht="20" customHeight="1">
      <c r="A1076" s="22" t="str">
        <f t="shared" si="156"/>
        <v>Biweekly Held by Lender</v>
      </c>
      <c r="B1076" s="23">
        <f>IF($E1076="","",50)</f>
        <v>50</v>
      </c>
      <c r="C1076" s="24">
        <f>IF($E1076="","",Inputs!$B$9+(49*Inputs!$B$21))</f>
        <v>46978</v>
      </c>
      <c r="D1076" s="23">
        <f t="shared" si="157"/>
        <v>14</v>
      </c>
      <c r="E1076" s="25">
        <f t="shared" si="158"/>
        <v>14834.84</v>
      </c>
      <c r="F1076" s="25">
        <f>IF($E1076="","",ROUND(MIN(Comparison!$E$5,MAX(0,$E1076+$H1075+$H1076-$M1075)),2))</f>
        <v>493.81</v>
      </c>
      <c r="G1076" s="25">
        <f>IF($E1076="","",ROUND(MIN(Inputs!$B$10,MAX(0,$E1076+$H1075+$H1076-$M1075-$F1076)),2))</f>
        <v>0</v>
      </c>
      <c r="H1076" s="25">
        <f>IF($E1076="","",ROUND(IF(Inputs!$B$12="Daily Simple Interest",$E1076*Inputs!$B$6/Inputs!$B$17*$D1076,$E1076*Inputs!$B$6/Inputs!$B$20),2))</f>
        <v>41.25</v>
      </c>
      <c r="I1076" s="25">
        <f>IF($E1076="","",ROUND($L1076-$H1075-$H1076,2))</f>
        <v>905.12</v>
      </c>
      <c r="J1076" s="25">
        <f>IF($E1076="","",IF($F1076+$G1076&gt;0,Inputs!$B$11,0))</f>
        <v>0</v>
      </c>
      <c r="K1076" s="25">
        <f>IF($E1076="","",ROUND(MAX(0,$E1076-$I1076),2))</f>
        <v>13929.72</v>
      </c>
      <c r="L1076" s="25">
        <f>IF($E1076="","",$M1075+$F1076+$G1076)</f>
        <v>987.62</v>
      </c>
      <c r="M1076" s="25">
        <f>IF($E1076="","",0)</f>
        <v>0</v>
      </c>
      <c r="N1076" s="84" t="str">
        <f>IF($E1076="","",IF($K1076&lt;=0.005,"PAID OFF","POSTED"))</f>
        <v>POSTED</v>
      </c>
      <c r="O1076" s="23">
        <f t="shared" si="159"/>
        <v>1</v>
      </c>
    </row>
    <row r="1077" spans="1:15" ht="20" customHeight="1">
      <c r="A1077" s="22" t="str">
        <f t="shared" si="156"/>
        <v>Biweekly Held by Lender</v>
      </c>
      <c r="B1077" s="23">
        <f>IF($E1077="","",51)</f>
        <v>51</v>
      </c>
      <c r="C1077" s="24">
        <f>IF($E1077="","",Inputs!$B$9+(50*Inputs!$B$21))</f>
        <v>46992</v>
      </c>
      <c r="D1077" s="23">
        <f t="shared" si="157"/>
        <v>14</v>
      </c>
      <c r="E1077" s="25">
        <f t="shared" si="158"/>
        <v>13929.72</v>
      </c>
      <c r="F1077" s="25">
        <f>IF($E1077="","",ROUND(MIN(Comparison!$E$5,MAX(0,$E1077+$H1077)),2))</f>
        <v>493.81</v>
      </c>
      <c r="G1077" s="25">
        <f>IF($E1077="","",ROUND(MIN(Inputs!$B$10,MAX(0,$E1077+$H1077-$F1077)),2))</f>
        <v>0</v>
      </c>
      <c r="H1077" s="25">
        <f>IF($E1077="","",ROUND(IF(Inputs!$B$12="Daily Simple Interest",$E1077*Inputs!$B$6/Inputs!$B$17*$D1077,$E1077*Inputs!$B$6/Inputs!$B$20),2))</f>
        <v>38.74</v>
      </c>
      <c r="I1077" s="25">
        <f>IF($E1077="","",0)</f>
        <v>0</v>
      </c>
      <c r="J1077" s="25">
        <f>IF($E1077="","",IF($F1077+$G1077&gt;0,Inputs!$B$11,0))</f>
        <v>0</v>
      </c>
      <c r="K1077" s="25">
        <f>IF($E1077="","",$E1077)</f>
        <v>13929.72</v>
      </c>
      <c r="L1077" s="25">
        <f>IF($E1077="","",0)</f>
        <v>0</v>
      </c>
      <c r="M1077" s="25">
        <f>IF($E1077="","",$F1077+$G1077)</f>
        <v>493.81</v>
      </c>
      <c r="N1077" s="84" t="str">
        <f>IF($E1077="","","HELD")</f>
        <v>HELD</v>
      </c>
      <c r="O1077" s="23">
        <f t="shared" si="159"/>
        <v>1</v>
      </c>
    </row>
    <row r="1078" spans="1:15" ht="20" customHeight="1">
      <c r="A1078" s="22" t="str">
        <f t="shared" si="156"/>
        <v>Biweekly Held by Lender</v>
      </c>
      <c r="B1078" s="23">
        <f>IF($E1078="","",52)</f>
        <v>52</v>
      </c>
      <c r="C1078" s="24">
        <f>IF($E1078="","",Inputs!$B$9+(51*Inputs!$B$21))</f>
        <v>47006</v>
      </c>
      <c r="D1078" s="23">
        <f t="shared" si="157"/>
        <v>14</v>
      </c>
      <c r="E1078" s="25">
        <f t="shared" si="158"/>
        <v>13929.72</v>
      </c>
      <c r="F1078" s="25">
        <f>IF($E1078="","",ROUND(MIN(Comparison!$E$5,MAX(0,$E1078+$H1077+$H1078-$M1077)),2))</f>
        <v>493.81</v>
      </c>
      <c r="G1078" s="25">
        <f>IF($E1078="","",ROUND(MIN(Inputs!$B$10,MAX(0,$E1078+$H1077+$H1078-$M1077-$F1078)),2))</f>
        <v>0</v>
      </c>
      <c r="H1078" s="25">
        <f>IF($E1078="","",ROUND(IF(Inputs!$B$12="Daily Simple Interest",$E1078*Inputs!$B$6/Inputs!$B$17*$D1078,$E1078*Inputs!$B$6/Inputs!$B$20),2))</f>
        <v>38.74</v>
      </c>
      <c r="I1078" s="25">
        <f>IF($E1078="","",ROUND($L1078-$H1077-$H1078,2))</f>
        <v>910.14</v>
      </c>
      <c r="J1078" s="25">
        <f>IF($E1078="","",IF($F1078+$G1078&gt;0,Inputs!$B$11,0))</f>
        <v>0</v>
      </c>
      <c r="K1078" s="25">
        <f>IF($E1078="","",ROUND(MAX(0,$E1078-$I1078),2))</f>
        <v>13019.58</v>
      </c>
      <c r="L1078" s="25">
        <f>IF($E1078="","",$M1077+$F1078+$G1078)</f>
        <v>987.62</v>
      </c>
      <c r="M1078" s="25">
        <f>IF($E1078="","",0)</f>
        <v>0</v>
      </c>
      <c r="N1078" s="84" t="str">
        <f>IF($E1078="","",IF($K1078&lt;=0.005,"PAID OFF","POSTED"))</f>
        <v>POSTED</v>
      </c>
      <c r="O1078" s="23">
        <f t="shared" si="159"/>
        <v>1</v>
      </c>
    </row>
    <row r="1079" spans="1:15" ht="20" customHeight="1">
      <c r="A1079" s="22" t="str">
        <f t="shared" si="156"/>
        <v>Biweekly Held by Lender</v>
      </c>
      <c r="B1079" s="23">
        <f>IF($E1079="","",53)</f>
        <v>53</v>
      </c>
      <c r="C1079" s="24">
        <f>IF($E1079="","",Inputs!$B$9+(52*Inputs!$B$21))</f>
        <v>47020</v>
      </c>
      <c r="D1079" s="23">
        <f t="shared" si="157"/>
        <v>14</v>
      </c>
      <c r="E1079" s="25">
        <f t="shared" si="158"/>
        <v>13019.58</v>
      </c>
      <c r="F1079" s="25">
        <f>IF($E1079="","",ROUND(MIN(Comparison!$E$5,MAX(0,$E1079+$H1079)),2))</f>
        <v>493.81</v>
      </c>
      <c r="G1079" s="25">
        <f>IF($E1079="","",ROUND(MIN(Inputs!$B$10,MAX(0,$E1079+$H1079-$F1079)),2))</f>
        <v>0</v>
      </c>
      <c r="H1079" s="25">
        <f>IF($E1079="","",ROUND(IF(Inputs!$B$12="Daily Simple Interest",$E1079*Inputs!$B$6/Inputs!$B$17*$D1079,$E1079*Inputs!$B$6/Inputs!$B$20),2))</f>
        <v>36.21</v>
      </c>
      <c r="I1079" s="25">
        <f>IF($E1079="","",0)</f>
        <v>0</v>
      </c>
      <c r="J1079" s="25">
        <f>IF($E1079="","",IF($F1079+$G1079&gt;0,Inputs!$B$11,0))</f>
        <v>0</v>
      </c>
      <c r="K1079" s="25">
        <f>IF($E1079="","",$E1079)</f>
        <v>13019.58</v>
      </c>
      <c r="L1079" s="25">
        <f>IF($E1079="","",0)</f>
        <v>0</v>
      </c>
      <c r="M1079" s="25">
        <f>IF($E1079="","",$F1079+$G1079)</f>
        <v>493.81</v>
      </c>
      <c r="N1079" s="84" t="str">
        <f>IF($E1079="","","HELD")</f>
        <v>HELD</v>
      </c>
      <c r="O1079" s="23">
        <f t="shared" si="159"/>
        <v>1</v>
      </c>
    </row>
    <row r="1080" spans="1:15" ht="20" customHeight="1">
      <c r="A1080" s="22" t="str">
        <f t="shared" si="156"/>
        <v>Biweekly Held by Lender</v>
      </c>
      <c r="B1080" s="23">
        <f>IF($E1080="","",54)</f>
        <v>54</v>
      </c>
      <c r="C1080" s="24">
        <f>IF($E1080="","",Inputs!$B$9+(53*Inputs!$B$21))</f>
        <v>47034</v>
      </c>
      <c r="D1080" s="23">
        <f t="shared" si="157"/>
        <v>14</v>
      </c>
      <c r="E1080" s="25">
        <f t="shared" si="158"/>
        <v>13019.58</v>
      </c>
      <c r="F1080" s="25">
        <f>IF($E1080="","",ROUND(MIN(Comparison!$E$5,MAX(0,$E1080+$H1079+$H1080-$M1079)),2))</f>
        <v>493.81</v>
      </c>
      <c r="G1080" s="25">
        <f>IF($E1080="","",ROUND(MIN(Inputs!$B$10,MAX(0,$E1080+$H1079+$H1080-$M1079-$F1080)),2))</f>
        <v>0</v>
      </c>
      <c r="H1080" s="25">
        <f>IF($E1080="","",ROUND(IF(Inputs!$B$12="Daily Simple Interest",$E1080*Inputs!$B$6/Inputs!$B$17*$D1080,$E1080*Inputs!$B$6/Inputs!$B$20),2))</f>
        <v>36.21</v>
      </c>
      <c r="I1080" s="25">
        <f>IF($E1080="","",ROUND($L1080-$H1079-$H1080,2))</f>
        <v>915.2</v>
      </c>
      <c r="J1080" s="25">
        <f>IF($E1080="","",IF($F1080+$G1080&gt;0,Inputs!$B$11,0))</f>
        <v>0</v>
      </c>
      <c r="K1080" s="25">
        <f>IF($E1080="","",ROUND(MAX(0,$E1080-$I1080),2))</f>
        <v>12104.38</v>
      </c>
      <c r="L1080" s="25">
        <f>IF($E1080="","",$M1079+$F1080+$G1080)</f>
        <v>987.62</v>
      </c>
      <c r="M1080" s="25">
        <f>IF($E1080="","",0)</f>
        <v>0</v>
      </c>
      <c r="N1080" s="84" t="str">
        <f>IF($E1080="","",IF($K1080&lt;=0.005,"PAID OFF","POSTED"))</f>
        <v>POSTED</v>
      </c>
      <c r="O1080" s="23">
        <f t="shared" si="159"/>
        <v>1</v>
      </c>
    </row>
    <row r="1081" spans="1:15" ht="20" customHeight="1">
      <c r="A1081" s="22" t="str">
        <f t="shared" si="156"/>
        <v>Biweekly Held by Lender</v>
      </c>
      <c r="B1081" s="23">
        <f>IF($E1081="","",55)</f>
        <v>55</v>
      </c>
      <c r="C1081" s="24">
        <f>IF($E1081="","",Inputs!$B$9+(54*Inputs!$B$21))</f>
        <v>47048</v>
      </c>
      <c r="D1081" s="23">
        <f t="shared" si="157"/>
        <v>14</v>
      </c>
      <c r="E1081" s="25">
        <f t="shared" si="158"/>
        <v>12104.38</v>
      </c>
      <c r="F1081" s="25">
        <f>IF($E1081="","",ROUND(MIN(Comparison!$E$5,MAX(0,$E1081+$H1081)),2))</f>
        <v>493.81</v>
      </c>
      <c r="G1081" s="25">
        <f>IF($E1081="","",ROUND(MIN(Inputs!$B$10,MAX(0,$E1081+$H1081-$F1081)),2))</f>
        <v>0</v>
      </c>
      <c r="H1081" s="25">
        <f>IF($E1081="","",ROUND(IF(Inputs!$B$12="Daily Simple Interest",$E1081*Inputs!$B$6/Inputs!$B$17*$D1081,$E1081*Inputs!$B$6/Inputs!$B$20),2))</f>
        <v>33.659999999999997</v>
      </c>
      <c r="I1081" s="25">
        <f>IF($E1081="","",0)</f>
        <v>0</v>
      </c>
      <c r="J1081" s="25">
        <f>IF($E1081="","",IF($F1081+$G1081&gt;0,Inputs!$B$11,0))</f>
        <v>0</v>
      </c>
      <c r="K1081" s="25">
        <f>IF($E1081="","",$E1081)</f>
        <v>12104.38</v>
      </c>
      <c r="L1081" s="25">
        <f>IF($E1081="","",0)</f>
        <v>0</v>
      </c>
      <c r="M1081" s="25">
        <f>IF($E1081="","",$F1081+$G1081)</f>
        <v>493.81</v>
      </c>
      <c r="N1081" s="84" t="str">
        <f>IF($E1081="","","HELD")</f>
        <v>HELD</v>
      </c>
      <c r="O1081" s="23">
        <f t="shared" si="159"/>
        <v>1</v>
      </c>
    </row>
    <row r="1082" spans="1:15" ht="20" customHeight="1">
      <c r="A1082" s="22" t="str">
        <f t="shared" si="156"/>
        <v>Biweekly Held by Lender</v>
      </c>
      <c r="B1082" s="23">
        <f>IF($E1082="","",56)</f>
        <v>56</v>
      </c>
      <c r="C1082" s="24">
        <f>IF($E1082="","",Inputs!$B$9+(55*Inputs!$B$21))</f>
        <v>47062</v>
      </c>
      <c r="D1082" s="23">
        <f t="shared" si="157"/>
        <v>14</v>
      </c>
      <c r="E1082" s="25">
        <f t="shared" si="158"/>
        <v>12104.38</v>
      </c>
      <c r="F1082" s="25">
        <f>IF($E1082="","",ROUND(MIN(Comparison!$E$5,MAX(0,$E1082+$H1081+$H1082-$M1081)),2))</f>
        <v>493.81</v>
      </c>
      <c r="G1082" s="25">
        <f>IF($E1082="","",ROUND(MIN(Inputs!$B$10,MAX(0,$E1082+$H1081+$H1082-$M1081-$F1082)),2))</f>
        <v>0</v>
      </c>
      <c r="H1082" s="25">
        <f>IF($E1082="","",ROUND(IF(Inputs!$B$12="Daily Simple Interest",$E1082*Inputs!$B$6/Inputs!$B$17*$D1082,$E1082*Inputs!$B$6/Inputs!$B$20),2))</f>
        <v>33.659999999999997</v>
      </c>
      <c r="I1082" s="25">
        <f>IF($E1082="","",ROUND($L1082-$H1081-$H1082,2))</f>
        <v>920.3</v>
      </c>
      <c r="J1082" s="25">
        <f>IF($E1082="","",IF($F1082+$G1082&gt;0,Inputs!$B$11,0))</f>
        <v>0</v>
      </c>
      <c r="K1082" s="25">
        <f>IF($E1082="","",ROUND(MAX(0,$E1082-$I1082),2))</f>
        <v>11184.08</v>
      </c>
      <c r="L1082" s="25">
        <f>IF($E1082="","",$M1081+$F1082+$G1082)</f>
        <v>987.62</v>
      </c>
      <c r="M1082" s="25">
        <f>IF($E1082="","",0)</f>
        <v>0</v>
      </c>
      <c r="N1082" s="84" t="str">
        <f>IF($E1082="","",IF($K1082&lt;=0.005,"PAID OFF","POSTED"))</f>
        <v>POSTED</v>
      </c>
      <c r="O1082" s="23">
        <f t="shared" si="159"/>
        <v>1</v>
      </c>
    </row>
    <row r="1083" spans="1:15" ht="20" customHeight="1">
      <c r="A1083" s="22" t="str">
        <f t="shared" si="156"/>
        <v>Biweekly Held by Lender</v>
      </c>
      <c r="B1083" s="23">
        <f>IF($E1083="","",57)</f>
        <v>57</v>
      </c>
      <c r="C1083" s="24">
        <f>IF($E1083="","",Inputs!$B$9+(56*Inputs!$B$21))</f>
        <v>47076</v>
      </c>
      <c r="D1083" s="23">
        <f t="shared" si="157"/>
        <v>14</v>
      </c>
      <c r="E1083" s="25">
        <f t="shared" si="158"/>
        <v>11184.08</v>
      </c>
      <c r="F1083" s="25">
        <f>IF($E1083="","",ROUND(MIN(Comparison!$E$5,MAX(0,$E1083+$H1083)),2))</f>
        <v>493.81</v>
      </c>
      <c r="G1083" s="25">
        <f>IF($E1083="","",ROUND(MIN(Inputs!$B$10,MAX(0,$E1083+$H1083-$F1083)),2))</f>
        <v>0</v>
      </c>
      <c r="H1083" s="25">
        <f>IF($E1083="","",ROUND(IF(Inputs!$B$12="Daily Simple Interest",$E1083*Inputs!$B$6/Inputs!$B$17*$D1083,$E1083*Inputs!$B$6/Inputs!$B$20),2))</f>
        <v>31.1</v>
      </c>
      <c r="I1083" s="25">
        <f>IF($E1083="","",0)</f>
        <v>0</v>
      </c>
      <c r="J1083" s="25">
        <f>IF($E1083="","",IF($F1083+$G1083&gt;0,Inputs!$B$11,0))</f>
        <v>0</v>
      </c>
      <c r="K1083" s="25">
        <f>IF($E1083="","",$E1083)</f>
        <v>11184.08</v>
      </c>
      <c r="L1083" s="25">
        <f>IF($E1083="","",0)</f>
        <v>0</v>
      </c>
      <c r="M1083" s="25">
        <f>IF($E1083="","",$F1083+$G1083)</f>
        <v>493.81</v>
      </c>
      <c r="N1083" s="84" t="str">
        <f>IF($E1083="","","HELD")</f>
        <v>HELD</v>
      </c>
      <c r="O1083" s="23">
        <f t="shared" si="159"/>
        <v>1</v>
      </c>
    </row>
    <row r="1084" spans="1:15" ht="20" customHeight="1">
      <c r="A1084" s="22" t="str">
        <f t="shared" si="156"/>
        <v>Biweekly Held by Lender</v>
      </c>
      <c r="B1084" s="23">
        <f>IF($E1084="","",58)</f>
        <v>58</v>
      </c>
      <c r="C1084" s="24">
        <f>IF($E1084="","",Inputs!$B$9+(57*Inputs!$B$21))</f>
        <v>47090</v>
      </c>
      <c r="D1084" s="23">
        <f t="shared" si="157"/>
        <v>14</v>
      </c>
      <c r="E1084" s="25">
        <f t="shared" si="158"/>
        <v>11184.08</v>
      </c>
      <c r="F1084" s="25">
        <f>IF($E1084="","",ROUND(MIN(Comparison!$E$5,MAX(0,$E1084+$H1083+$H1084-$M1083)),2))</f>
        <v>493.81</v>
      </c>
      <c r="G1084" s="25">
        <f>IF($E1084="","",ROUND(MIN(Inputs!$B$10,MAX(0,$E1084+$H1083+$H1084-$M1083-$F1084)),2))</f>
        <v>0</v>
      </c>
      <c r="H1084" s="25">
        <f>IF($E1084="","",ROUND(IF(Inputs!$B$12="Daily Simple Interest",$E1084*Inputs!$B$6/Inputs!$B$17*$D1084,$E1084*Inputs!$B$6/Inputs!$B$20),2))</f>
        <v>31.1</v>
      </c>
      <c r="I1084" s="25">
        <f>IF($E1084="","",ROUND($L1084-$H1083-$H1084,2))</f>
        <v>925.42</v>
      </c>
      <c r="J1084" s="25">
        <f>IF($E1084="","",IF($F1084+$G1084&gt;0,Inputs!$B$11,0))</f>
        <v>0</v>
      </c>
      <c r="K1084" s="25">
        <f>IF($E1084="","",ROUND(MAX(0,$E1084-$I1084),2))</f>
        <v>10258.66</v>
      </c>
      <c r="L1084" s="25">
        <f>IF($E1084="","",$M1083+$F1084+$G1084)</f>
        <v>987.62</v>
      </c>
      <c r="M1084" s="25">
        <f>IF($E1084="","",0)</f>
        <v>0</v>
      </c>
      <c r="N1084" s="84" t="str">
        <f>IF($E1084="","",IF($K1084&lt;=0.005,"PAID OFF","POSTED"))</f>
        <v>POSTED</v>
      </c>
      <c r="O1084" s="23">
        <f t="shared" si="159"/>
        <v>1</v>
      </c>
    </row>
    <row r="1085" spans="1:15" ht="20" customHeight="1">
      <c r="A1085" s="22" t="str">
        <f t="shared" si="156"/>
        <v>Biweekly Held by Lender</v>
      </c>
      <c r="B1085" s="23">
        <f>IF($E1085="","",59)</f>
        <v>59</v>
      </c>
      <c r="C1085" s="24">
        <f>IF($E1085="","",Inputs!$B$9+(58*Inputs!$B$21))</f>
        <v>47104</v>
      </c>
      <c r="D1085" s="23">
        <f t="shared" si="157"/>
        <v>14</v>
      </c>
      <c r="E1085" s="25">
        <f t="shared" si="158"/>
        <v>10258.66</v>
      </c>
      <c r="F1085" s="25">
        <f>IF($E1085="","",ROUND(MIN(Comparison!$E$5,MAX(0,$E1085+$H1085)),2))</f>
        <v>493.81</v>
      </c>
      <c r="G1085" s="25">
        <f>IF($E1085="","",ROUND(MIN(Inputs!$B$10,MAX(0,$E1085+$H1085-$F1085)),2))</f>
        <v>0</v>
      </c>
      <c r="H1085" s="25">
        <f>IF($E1085="","",ROUND(IF(Inputs!$B$12="Daily Simple Interest",$E1085*Inputs!$B$6/Inputs!$B$17*$D1085,$E1085*Inputs!$B$6/Inputs!$B$20),2))</f>
        <v>28.53</v>
      </c>
      <c r="I1085" s="25">
        <f>IF($E1085="","",0)</f>
        <v>0</v>
      </c>
      <c r="J1085" s="25">
        <f>IF($E1085="","",IF($F1085+$G1085&gt;0,Inputs!$B$11,0))</f>
        <v>0</v>
      </c>
      <c r="K1085" s="25">
        <f>IF($E1085="","",$E1085)</f>
        <v>10258.66</v>
      </c>
      <c r="L1085" s="25">
        <f>IF($E1085="","",0)</f>
        <v>0</v>
      </c>
      <c r="M1085" s="25">
        <f>IF($E1085="","",$F1085+$G1085)</f>
        <v>493.81</v>
      </c>
      <c r="N1085" s="84" t="str">
        <f>IF($E1085="","","HELD")</f>
        <v>HELD</v>
      </c>
      <c r="O1085" s="23">
        <f t="shared" si="159"/>
        <v>1</v>
      </c>
    </row>
    <row r="1086" spans="1:15" ht="20" customHeight="1">
      <c r="A1086" s="22" t="str">
        <f t="shared" si="156"/>
        <v>Biweekly Held by Lender</v>
      </c>
      <c r="B1086" s="23">
        <f>IF($E1086="","",60)</f>
        <v>60</v>
      </c>
      <c r="C1086" s="24">
        <f>IF($E1086="","",Inputs!$B$9+(59*Inputs!$B$21))</f>
        <v>47118</v>
      </c>
      <c r="D1086" s="23">
        <f t="shared" si="157"/>
        <v>14</v>
      </c>
      <c r="E1086" s="25">
        <f t="shared" si="158"/>
        <v>10258.66</v>
      </c>
      <c r="F1086" s="25">
        <f>IF($E1086="","",ROUND(MIN(Comparison!$E$5,MAX(0,$E1086+$H1085+$H1086-$M1085)),2))</f>
        <v>493.81</v>
      </c>
      <c r="G1086" s="25">
        <f>IF($E1086="","",ROUND(MIN(Inputs!$B$10,MAX(0,$E1086+$H1085+$H1086-$M1085-$F1086)),2))</f>
        <v>0</v>
      </c>
      <c r="H1086" s="25">
        <f>IF($E1086="","",ROUND(IF(Inputs!$B$12="Daily Simple Interest",$E1086*Inputs!$B$6/Inputs!$B$17*$D1086,$E1086*Inputs!$B$6/Inputs!$B$20),2))</f>
        <v>28.53</v>
      </c>
      <c r="I1086" s="25">
        <f>IF($E1086="","",ROUND($L1086-$H1085-$H1086,2))</f>
        <v>930.56</v>
      </c>
      <c r="J1086" s="25">
        <f>IF($E1086="","",IF($F1086+$G1086&gt;0,Inputs!$B$11,0))</f>
        <v>0</v>
      </c>
      <c r="K1086" s="25">
        <f>IF($E1086="","",ROUND(MAX(0,$E1086-$I1086),2))</f>
        <v>9328.1</v>
      </c>
      <c r="L1086" s="25">
        <f>IF($E1086="","",$M1085+$F1086+$G1086)</f>
        <v>987.62</v>
      </c>
      <c r="M1086" s="25">
        <f>IF($E1086="","",0)</f>
        <v>0</v>
      </c>
      <c r="N1086" s="84" t="str">
        <f>IF($E1086="","",IF($K1086&lt;=0.005,"PAID OFF","POSTED"))</f>
        <v>POSTED</v>
      </c>
      <c r="O1086" s="23">
        <f t="shared" si="159"/>
        <v>1</v>
      </c>
    </row>
    <row r="1087" spans="1:15" ht="20" customHeight="1">
      <c r="A1087" s="22" t="str">
        <f t="shared" si="156"/>
        <v>Biweekly Held by Lender</v>
      </c>
      <c r="B1087" s="23">
        <f>IF($E1087="","",61)</f>
        <v>61</v>
      </c>
      <c r="C1087" s="24">
        <f>IF($E1087="","",Inputs!$B$9+(60*Inputs!$B$21))</f>
        <v>47132</v>
      </c>
      <c r="D1087" s="23">
        <f t="shared" si="157"/>
        <v>14</v>
      </c>
      <c r="E1087" s="25">
        <f t="shared" si="158"/>
        <v>9328.1</v>
      </c>
      <c r="F1087" s="25">
        <f>IF($E1087="","",ROUND(MIN(Comparison!$E$5,MAX(0,$E1087+$H1087)),2))</f>
        <v>493.81</v>
      </c>
      <c r="G1087" s="25">
        <f>IF($E1087="","",ROUND(MIN(Inputs!$B$10,MAX(0,$E1087+$H1087-$F1087)),2))</f>
        <v>0</v>
      </c>
      <c r="H1087" s="25">
        <f>IF($E1087="","",ROUND(IF(Inputs!$B$12="Daily Simple Interest",$E1087*Inputs!$B$6/Inputs!$B$17*$D1087,$E1087*Inputs!$B$6/Inputs!$B$20),2))</f>
        <v>25.94</v>
      </c>
      <c r="I1087" s="25">
        <f>IF($E1087="","",0)</f>
        <v>0</v>
      </c>
      <c r="J1087" s="25">
        <f>IF($E1087="","",IF($F1087+$G1087&gt;0,Inputs!$B$11,0))</f>
        <v>0</v>
      </c>
      <c r="K1087" s="25">
        <f>IF($E1087="","",$E1087)</f>
        <v>9328.1</v>
      </c>
      <c r="L1087" s="25">
        <f>IF($E1087="","",0)</f>
        <v>0</v>
      </c>
      <c r="M1087" s="25">
        <f>IF($E1087="","",$F1087+$G1087)</f>
        <v>493.81</v>
      </c>
      <c r="N1087" s="84" t="str">
        <f>IF($E1087="","","HELD")</f>
        <v>HELD</v>
      </c>
      <c r="O1087" s="23">
        <f t="shared" si="159"/>
        <v>1</v>
      </c>
    </row>
    <row r="1088" spans="1:15" ht="20" customHeight="1">
      <c r="A1088" s="22" t="str">
        <f t="shared" si="156"/>
        <v>Biweekly Held by Lender</v>
      </c>
      <c r="B1088" s="23">
        <f>IF($E1088="","",62)</f>
        <v>62</v>
      </c>
      <c r="C1088" s="24">
        <f>IF($E1088="","",Inputs!$B$9+(61*Inputs!$B$21))</f>
        <v>47146</v>
      </c>
      <c r="D1088" s="23">
        <f t="shared" si="157"/>
        <v>14</v>
      </c>
      <c r="E1088" s="25">
        <f t="shared" si="158"/>
        <v>9328.1</v>
      </c>
      <c r="F1088" s="25">
        <f>IF($E1088="","",ROUND(MIN(Comparison!$E$5,MAX(0,$E1088+$H1087+$H1088-$M1087)),2))</f>
        <v>493.81</v>
      </c>
      <c r="G1088" s="25">
        <f>IF($E1088="","",ROUND(MIN(Inputs!$B$10,MAX(0,$E1088+$H1087+$H1088-$M1087-$F1088)),2))</f>
        <v>0</v>
      </c>
      <c r="H1088" s="25">
        <f>IF($E1088="","",ROUND(IF(Inputs!$B$12="Daily Simple Interest",$E1088*Inputs!$B$6/Inputs!$B$17*$D1088,$E1088*Inputs!$B$6/Inputs!$B$20),2))</f>
        <v>25.94</v>
      </c>
      <c r="I1088" s="25">
        <f>IF($E1088="","",ROUND($L1088-$H1087-$H1088,2))</f>
        <v>935.74</v>
      </c>
      <c r="J1088" s="25">
        <f>IF($E1088="","",IF($F1088+$G1088&gt;0,Inputs!$B$11,0))</f>
        <v>0</v>
      </c>
      <c r="K1088" s="25">
        <f>IF($E1088="","",ROUND(MAX(0,$E1088-$I1088),2))</f>
        <v>8392.36</v>
      </c>
      <c r="L1088" s="25">
        <f>IF($E1088="","",$M1087+$F1088+$G1088)</f>
        <v>987.62</v>
      </c>
      <c r="M1088" s="25">
        <f>IF($E1088="","",0)</f>
        <v>0</v>
      </c>
      <c r="N1088" s="84" t="str">
        <f>IF($E1088="","",IF($K1088&lt;=0.005,"PAID OFF","POSTED"))</f>
        <v>POSTED</v>
      </c>
      <c r="O1088" s="23">
        <f t="shared" si="159"/>
        <v>1</v>
      </c>
    </row>
    <row r="1089" spans="1:15" ht="20" customHeight="1">
      <c r="A1089" s="22" t="str">
        <f t="shared" si="156"/>
        <v>Biweekly Held by Lender</v>
      </c>
      <c r="B1089" s="23">
        <f>IF($E1089="","",63)</f>
        <v>63</v>
      </c>
      <c r="C1089" s="24">
        <f>IF($E1089="","",Inputs!$B$9+(62*Inputs!$B$21))</f>
        <v>47160</v>
      </c>
      <c r="D1089" s="23">
        <f t="shared" si="157"/>
        <v>14</v>
      </c>
      <c r="E1089" s="25">
        <f t="shared" si="158"/>
        <v>8392.36</v>
      </c>
      <c r="F1089" s="25">
        <f>IF($E1089="","",ROUND(MIN(Comparison!$E$5,MAX(0,$E1089+$H1089)),2))</f>
        <v>493.81</v>
      </c>
      <c r="G1089" s="25">
        <f>IF($E1089="","",ROUND(MIN(Inputs!$B$10,MAX(0,$E1089+$H1089-$F1089)),2))</f>
        <v>0</v>
      </c>
      <c r="H1089" s="25">
        <f>IF($E1089="","",ROUND(IF(Inputs!$B$12="Daily Simple Interest",$E1089*Inputs!$B$6/Inputs!$B$17*$D1089,$E1089*Inputs!$B$6/Inputs!$B$20),2))</f>
        <v>23.34</v>
      </c>
      <c r="I1089" s="25">
        <f>IF($E1089="","",0)</f>
        <v>0</v>
      </c>
      <c r="J1089" s="25">
        <f>IF($E1089="","",IF($F1089+$G1089&gt;0,Inputs!$B$11,0))</f>
        <v>0</v>
      </c>
      <c r="K1089" s="25">
        <f>IF($E1089="","",$E1089)</f>
        <v>8392.36</v>
      </c>
      <c r="L1089" s="25">
        <f>IF($E1089="","",0)</f>
        <v>0</v>
      </c>
      <c r="M1089" s="25">
        <f>IF($E1089="","",$F1089+$G1089)</f>
        <v>493.81</v>
      </c>
      <c r="N1089" s="84" t="str">
        <f>IF($E1089="","","HELD")</f>
        <v>HELD</v>
      </c>
      <c r="O1089" s="23">
        <f t="shared" si="159"/>
        <v>1</v>
      </c>
    </row>
    <row r="1090" spans="1:15" ht="20" customHeight="1">
      <c r="A1090" s="22" t="str">
        <f t="shared" si="156"/>
        <v>Biweekly Held by Lender</v>
      </c>
      <c r="B1090" s="23">
        <f>IF($E1090="","",64)</f>
        <v>64</v>
      </c>
      <c r="C1090" s="24">
        <f>IF($E1090="","",Inputs!$B$9+(63*Inputs!$B$21))</f>
        <v>47174</v>
      </c>
      <c r="D1090" s="23">
        <f t="shared" si="157"/>
        <v>14</v>
      </c>
      <c r="E1090" s="25">
        <f t="shared" si="158"/>
        <v>8392.36</v>
      </c>
      <c r="F1090" s="25">
        <f>IF($E1090="","",ROUND(MIN(Comparison!$E$5,MAX(0,$E1090+$H1089+$H1090-$M1089)),2))</f>
        <v>493.81</v>
      </c>
      <c r="G1090" s="25">
        <f>IF($E1090="","",ROUND(MIN(Inputs!$B$10,MAX(0,$E1090+$H1089+$H1090-$M1089-$F1090)),2))</f>
        <v>0</v>
      </c>
      <c r="H1090" s="25">
        <f>IF($E1090="","",ROUND(IF(Inputs!$B$12="Daily Simple Interest",$E1090*Inputs!$B$6/Inputs!$B$17*$D1090,$E1090*Inputs!$B$6/Inputs!$B$20),2))</f>
        <v>23.34</v>
      </c>
      <c r="I1090" s="25">
        <f>IF($E1090="","",ROUND($L1090-$H1089-$H1090,2))</f>
        <v>940.94</v>
      </c>
      <c r="J1090" s="25">
        <f>IF($E1090="","",IF($F1090+$G1090&gt;0,Inputs!$B$11,0))</f>
        <v>0</v>
      </c>
      <c r="K1090" s="25">
        <f>IF($E1090="","",ROUND(MAX(0,$E1090-$I1090),2))</f>
        <v>7451.42</v>
      </c>
      <c r="L1090" s="25">
        <f>IF($E1090="","",$M1089+$F1090+$G1090)</f>
        <v>987.62</v>
      </c>
      <c r="M1090" s="25">
        <f>IF($E1090="","",0)</f>
        <v>0</v>
      </c>
      <c r="N1090" s="84" t="str">
        <f>IF($E1090="","",IF($K1090&lt;=0.005,"PAID OFF","POSTED"))</f>
        <v>POSTED</v>
      </c>
      <c r="O1090" s="23">
        <f t="shared" si="159"/>
        <v>1</v>
      </c>
    </row>
    <row r="1091" spans="1:15" ht="20" customHeight="1">
      <c r="A1091" s="22" t="str">
        <f t="shared" ref="A1091:A1154" si="160">IF($E1091="","","Biweekly Held by Lender")</f>
        <v>Biweekly Held by Lender</v>
      </c>
      <c r="B1091" s="23">
        <f>IF($E1091="","",65)</f>
        <v>65</v>
      </c>
      <c r="C1091" s="24">
        <f>IF($E1091="","",Inputs!$B$9+(64*Inputs!$B$21))</f>
        <v>47188</v>
      </c>
      <c r="D1091" s="23">
        <f t="shared" si="157"/>
        <v>14</v>
      </c>
      <c r="E1091" s="25">
        <f t="shared" si="158"/>
        <v>7451.42</v>
      </c>
      <c r="F1091" s="25">
        <f>IF($E1091="","",ROUND(MIN(Comparison!$E$5,MAX(0,$E1091+$H1091)),2))</f>
        <v>493.81</v>
      </c>
      <c r="G1091" s="25">
        <f>IF($E1091="","",ROUND(MIN(Inputs!$B$10,MAX(0,$E1091+$H1091-$F1091)),2))</f>
        <v>0</v>
      </c>
      <c r="H1091" s="25">
        <f>IF($E1091="","",ROUND(IF(Inputs!$B$12="Daily Simple Interest",$E1091*Inputs!$B$6/Inputs!$B$17*$D1091,$E1091*Inputs!$B$6/Inputs!$B$20),2))</f>
        <v>20.72</v>
      </c>
      <c r="I1091" s="25">
        <f>IF($E1091="","",0)</f>
        <v>0</v>
      </c>
      <c r="J1091" s="25">
        <f>IF($E1091="","",IF($F1091+$G1091&gt;0,Inputs!$B$11,0))</f>
        <v>0</v>
      </c>
      <c r="K1091" s="25">
        <f>IF($E1091="","",$E1091)</f>
        <v>7451.42</v>
      </c>
      <c r="L1091" s="25">
        <f>IF($E1091="","",0)</f>
        <v>0</v>
      </c>
      <c r="M1091" s="25">
        <f>IF($E1091="","",$F1091+$G1091)</f>
        <v>493.81</v>
      </c>
      <c r="N1091" s="84" t="str">
        <f>IF($E1091="","","HELD")</f>
        <v>HELD</v>
      </c>
      <c r="O1091" s="23">
        <f t="shared" si="159"/>
        <v>1</v>
      </c>
    </row>
    <row r="1092" spans="1:15" ht="20" customHeight="1">
      <c r="A1092" s="22" t="str">
        <f t="shared" si="160"/>
        <v>Biweekly Held by Lender</v>
      </c>
      <c r="B1092" s="23">
        <f>IF($E1092="","",66)</f>
        <v>66</v>
      </c>
      <c r="C1092" s="24">
        <f>IF($E1092="","",Inputs!$B$9+(65*Inputs!$B$21))</f>
        <v>47202</v>
      </c>
      <c r="D1092" s="23">
        <f t="shared" ref="D1092:D1155" si="161">IF($E1092="","",$C1092-$C1091)</f>
        <v>14</v>
      </c>
      <c r="E1092" s="25">
        <f t="shared" ref="E1092:E1155" si="162">IF($K1091&gt;0.005,$K1091,"")</f>
        <v>7451.42</v>
      </c>
      <c r="F1092" s="25">
        <f>IF($E1092="","",ROUND(MIN(Comparison!$E$5,MAX(0,$E1092+$H1091+$H1092-$M1091)),2))</f>
        <v>493.81</v>
      </c>
      <c r="G1092" s="25">
        <f>IF($E1092="","",ROUND(MIN(Inputs!$B$10,MAX(0,$E1092+$H1091+$H1092-$M1091-$F1092)),2))</f>
        <v>0</v>
      </c>
      <c r="H1092" s="25">
        <f>IF($E1092="","",ROUND(IF(Inputs!$B$12="Daily Simple Interest",$E1092*Inputs!$B$6/Inputs!$B$17*$D1092,$E1092*Inputs!$B$6/Inputs!$B$20),2))</f>
        <v>20.72</v>
      </c>
      <c r="I1092" s="25">
        <f>IF($E1092="","",ROUND($L1092-$H1091-$H1092,2))</f>
        <v>946.18</v>
      </c>
      <c r="J1092" s="25">
        <f>IF($E1092="","",IF($F1092+$G1092&gt;0,Inputs!$B$11,0))</f>
        <v>0</v>
      </c>
      <c r="K1092" s="25">
        <f>IF($E1092="","",ROUND(MAX(0,$E1092-$I1092),2))</f>
        <v>6505.24</v>
      </c>
      <c r="L1092" s="25">
        <f>IF($E1092="","",$M1091+$F1092+$G1092)</f>
        <v>987.62</v>
      </c>
      <c r="M1092" s="25">
        <f>IF($E1092="","",0)</f>
        <v>0</v>
      </c>
      <c r="N1092" s="84" t="str">
        <f>IF($E1092="","",IF($K1092&lt;=0.005,"PAID OFF","POSTED"))</f>
        <v>POSTED</v>
      </c>
      <c r="O1092" s="23">
        <f t="shared" si="159"/>
        <v>1</v>
      </c>
    </row>
    <row r="1093" spans="1:15" ht="20" customHeight="1">
      <c r="A1093" s="22" t="str">
        <f t="shared" si="160"/>
        <v>Biweekly Held by Lender</v>
      </c>
      <c r="B1093" s="23">
        <f>IF($E1093="","",67)</f>
        <v>67</v>
      </c>
      <c r="C1093" s="24">
        <f>IF($E1093="","",Inputs!$B$9+(66*Inputs!$B$21))</f>
        <v>47216</v>
      </c>
      <c r="D1093" s="23">
        <f t="shared" si="161"/>
        <v>14</v>
      </c>
      <c r="E1093" s="25">
        <f t="shared" si="162"/>
        <v>6505.24</v>
      </c>
      <c r="F1093" s="25">
        <f>IF($E1093="","",ROUND(MIN(Comparison!$E$5,MAX(0,$E1093+$H1093)),2))</f>
        <v>493.81</v>
      </c>
      <c r="G1093" s="25">
        <f>IF($E1093="","",ROUND(MIN(Inputs!$B$10,MAX(0,$E1093+$H1093-$F1093)),2))</f>
        <v>0</v>
      </c>
      <c r="H1093" s="25">
        <f>IF($E1093="","",ROUND(IF(Inputs!$B$12="Daily Simple Interest",$E1093*Inputs!$B$6/Inputs!$B$17*$D1093,$E1093*Inputs!$B$6/Inputs!$B$20),2))</f>
        <v>18.09</v>
      </c>
      <c r="I1093" s="25">
        <f>IF($E1093="","",0)</f>
        <v>0</v>
      </c>
      <c r="J1093" s="25">
        <f>IF($E1093="","",IF($F1093+$G1093&gt;0,Inputs!$B$11,0))</f>
        <v>0</v>
      </c>
      <c r="K1093" s="25">
        <f>IF($E1093="","",$E1093)</f>
        <v>6505.24</v>
      </c>
      <c r="L1093" s="25">
        <f>IF($E1093="","",0)</f>
        <v>0</v>
      </c>
      <c r="M1093" s="25">
        <f>IF($E1093="","",$F1093+$G1093)</f>
        <v>493.81</v>
      </c>
      <c r="N1093" s="84" t="str">
        <f>IF($E1093="","","HELD")</f>
        <v>HELD</v>
      </c>
      <c r="O1093" s="23">
        <f t="shared" si="159"/>
        <v>1</v>
      </c>
    </row>
    <row r="1094" spans="1:15" ht="20" customHeight="1">
      <c r="A1094" s="22" t="str">
        <f t="shared" si="160"/>
        <v>Biweekly Held by Lender</v>
      </c>
      <c r="B1094" s="23">
        <f>IF($E1094="","",68)</f>
        <v>68</v>
      </c>
      <c r="C1094" s="24">
        <f>IF($E1094="","",Inputs!$B$9+(67*Inputs!$B$21))</f>
        <v>47230</v>
      </c>
      <c r="D1094" s="23">
        <f t="shared" si="161"/>
        <v>14</v>
      </c>
      <c r="E1094" s="25">
        <f t="shared" si="162"/>
        <v>6505.24</v>
      </c>
      <c r="F1094" s="25">
        <f>IF($E1094="","",ROUND(MIN(Comparison!$E$5,MAX(0,$E1094+$H1093+$H1094-$M1093)),2))</f>
        <v>493.81</v>
      </c>
      <c r="G1094" s="25">
        <f>IF($E1094="","",ROUND(MIN(Inputs!$B$10,MAX(0,$E1094+$H1093+$H1094-$M1093-$F1094)),2))</f>
        <v>0</v>
      </c>
      <c r="H1094" s="25">
        <f>IF($E1094="","",ROUND(IF(Inputs!$B$12="Daily Simple Interest",$E1094*Inputs!$B$6/Inputs!$B$17*$D1094,$E1094*Inputs!$B$6/Inputs!$B$20),2))</f>
        <v>18.09</v>
      </c>
      <c r="I1094" s="25">
        <f>IF($E1094="","",ROUND($L1094-$H1093-$H1094,2))</f>
        <v>951.44</v>
      </c>
      <c r="J1094" s="25">
        <f>IF($E1094="","",IF($F1094+$G1094&gt;0,Inputs!$B$11,0))</f>
        <v>0</v>
      </c>
      <c r="K1094" s="25">
        <f>IF($E1094="","",ROUND(MAX(0,$E1094-$I1094),2))</f>
        <v>5553.8</v>
      </c>
      <c r="L1094" s="25">
        <f>IF($E1094="","",$M1093+$F1094+$G1094)</f>
        <v>987.62</v>
      </c>
      <c r="M1094" s="25">
        <f>IF($E1094="","",0)</f>
        <v>0</v>
      </c>
      <c r="N1094" s="84" t="str">
        <f>IF($E1094="","",IF($K1094&lt;=0.005,"PAID OFF","POSTED"))</f>
        <v>POSTED</v>
      </c>
      <c r="O1094" s="23">
        <f t="shared" si="159"/>
        <v>1</v>
      </c>
    </row>
    <row r="1095" spans="1:15" ht="20" customHeight="1">
      <c r="A1095" s="22" t="str">
        <f t="shared" si="160"/>
        <v>Biweekly Held by Lender</v>
      </c>
      <c r="B1095" s="23">
        <f>IF($E1095="","",69)</f>
        <v>69</v>
      </c>
      <c r="C1095" s="24">
        <f>IF($E1095="","",Inputs!$B$9+(68*Inputs!$B$21))</f>
        <v>47244</v>
      </c>
      <c r="D1095" s="23">
        <f t="shared" si="161"/>
        <v>14</v>
      </c>
      <c r="E1095" s="25">
        <f t="shared" si="162"/>
        <v>5553.8</v>
      </c>
      <c r="F1095" s="25">
        <f>IF($E1095="","",ROUND(MIN(Comparison!$E$5,MAX(0,$E1095+$H1095)),2))</f>
        <v>493.81</v>
      </c>
      <c r="G1095" s="25">
        <f>IF($E1095="","",ROUND(MIN(Inputs!$B$10,MAX(0,$E1095+$H1095-$F1095)),2))</f>
        <v>0</v>
      </c>
      <c r="H1095" s="25">
        <f>IF($E1095="","",ROUND(IF(Inputs!$B$12="Daily Simple Interest",$E1095*Inputs!$B$6/Inputs!$B$17*$D1095,$E1095*Inputs!$B$6/Inputs!$B$20),2))</f>
        <v>15.44</v>
      </c>
      <c r="I1095" s="25">
        <f>IF($E1095="","",0)</f>
        <v>0</v>
      </c>
      <c r="J1095" s="25">
        <f>IF($E1095="","",IF($F1095+$G1095&gt;0,Inputs!$B$11,0))</f>
        <v>0</v>
      </c>
      <c r="K1095" s="25">
        <f>IF($E1095="","",$E1095)</f>
        <v>5553.8</v>
      </c>
      <c r="L1095" s="25">
        <f>IF($E1095="","",0)</f>
        <v>0</v>
      </c>
      <c r="M1095" s="25">
        <f>IF($E1095="","",$F1095+$G1095)</f>
        <v>493.81</v>
      </c>
      <c r="N1095" s="84" t="str">
        <f>IF($E1095="","","HELD")</f>
        <v>HELD</v>
      </c>
      <c r="O1095" s="23">
        <f t="shared" ref="O1095:O1158" si="163">IF($E1095="","",IF($F1095+$G1095&gt;0,1,0))</f>
        <v>1</v>
      </c>
    </row>
    <row r="1096" spans="1:15" ht="20" customHeight="1">
      <c r="A1096" s="22" t="str">
        <f t="shared" si="160"/>
        <v>Biweekly Held by Lender</v>
      </c>
      <c r="B1096" s="23">
        <f>IF($E1096="","",70)</f>
        <v>70</v>
      </c>
      <c r="C1096" s="24">
        <f>IF($E1096="","",Inputs!$B$9+(69*Inputs!$B$21))</f>
        <v>47258</v>
      </c>
      <c r="D1096" s="23">
        <f t="shared" si="161"/>
        <v>14</v>
      </c>
      <c r="E1096" s="25">
        <f t="shared" si="162"/>
        <v>5553.8</v>
      </c>
      <c r="F1096" s="25">
        <f>IF($E1096="","",ROUND(MIN(Comparison!$E$5,MAX(0,$E1096+$H1095+$H1096-$M1095)),2))</f>
        <v>493.81</v>
      </c>
      <c r="G1096" s="25">
        <f>IF($E1096="","",ROUND(MIN(Inputs!$B$10,MAX(0,$E1096+$H1095+$H1096-$M1095-$F1096)),2))</f>
        <v>0</v>
      </c>
      <c r="H1096" s="25">
        <f>IF($E1096="","",ROUND(IF(Inputs!$B$12="Daily Simple Interest",$E1096*Inputs!$B$6/Inputs!$B$17*$D1096,$E1096*Inputs!$B$6/Inputs!$B$20),2))</f>
        <v>15.44</v>
      </c>
      <c r="I1096" s="25">
        <f>IF($E1096="","",ROUND($L1096-$H1095-$H1096,2))</f>
        <v>956.74</v>
      </c>
      <c r="J1096" s="25">
        <f>IF($E1096="","",IF($F1096+$G1096&gt;0,Inputs!$B$11,0))</f>
        <v>0</v>
      </c>
      <c r="K1096" s="25">
        <f>IF($E1096="","",ROUND(MAX(0,$E1096-$I1096),2))</f>
        <v>4597.0600000000004</v>
      </c>
      <c r="L1096" s="25">
        <f>IF($E1096="","",$M1095+$F1096+$G1096)</f>
        <v>987.62</v>
      </c>
      <c r="M1096" s="25">
        <f>IF($E1096="","",0)</f>
        <v>0</v>
      </c>
      <c r="N1096" s="84" t="str">
        <f>IF($E1096="","",IF($K1096&lt;=0.005,"PAID OFF","POSTED"))</f>
        <v>POSTED</v>
      </c>
      <c r="O1096" s="23">
        <f t="shared" si="163"/>
        <v>1</v>
      </c>
    </row>
    <row r="1097" spans="1:15" ht="20" customHeight="1">
      <c r="A1097" s="22" t="str">
        <f t="shared" si="160"/>
        <v>Biweekly Held by Lender</v>
      </c>
      <c r="B1097" s="23">
        <f>IF($E1097="","",71)</f>
        <v>71</v>
      </c>
      <c r="C1097" s="24">
        <f>IF($E1097="","",Inputs!$B$9+(70*Inputs!$B$21))</f>
        <v>47272</v>
      </c>
      <c r="D1097" s="23">
        <f t="shared" si="161"/>
        <v>14</v>
      </c>
      <c r="E1097" s="25">
        <f t="shared" si="162"/>
        <v>4597.0600000000004</v>
      </c>
      <c r="F1097" s="25">
        <f>IF($E1097="","",ROUND(MIN(Comparison!$E$5,MAX(0,$E1097+$H1097)),2))</f>
        <v>493.81</v>
      </c>
      <c r="G1097" s="25">
        <f>IF($E1097="","",ROUND(MIN(Inputs!$B$10,MAX(0,$E1097+$H1097-$F1097)),2))</f>
        <v>0</v>
      </c>
      <c r="H1097" s="25">
        <f>IF($E1097="","",ROUND(IF(Inputs!$B$12="Daily Simple Interest",$E1097*Inputs!$B$6/Inputs!$B$17*$D1097,$E1097*Inputs!$B$6/Inputs!$B$20),2))</f>
        <v>12.78</v>
      </c>
      <c r="I1097" s="25">
        <f>IF($E1097="","",0)</f>
        <v>0</v>
      </c>
      <c r="J1097" s="25">
        <f>IF($E1097="","",IF($F1097+$G1097&gt;0,Inputs!$B$11,0))</f>
        <v>0</v>
      </c>
      <c r="K1097" s="25">
        <f>IF($E1097="","",$E1097)</f>
        <v>4597.0600000000004</v>
      </c>
      <c r="L1097" s="25">
        <f>IF($E1097="","",0)</f>
        <v>0</v>
      </c>
      <c r="M1097" s="25">
        <f>IF($E1097="","",$F1097+$G1097)</f>
        <v>493.81</v>
      </c>
      <c r="N1097" s="84" t="str">
        <f>IF($E1097="","","HELD")</f>
        <v>HELD</v>
      </c>
      <c r="O1097" s="23">
        <f t="shared" si="163"/>
        <v>1</v>
      </c>
    </row>
    <row r="1098" spans="1:15" ht="20" customHeight="1">
      <c r="A1098" s="22" t="str">
        <f t="shared" si="160"/>
        <v>Biweekly Held by Lender</v>
      </c>
      <c r="B1098" s="23">
        <f>IF($E1098="","",72)</f>
        <v>72</v>
      </c>
      <c r="C1098" s="24">
        <f>IF($E1098="","",Inputs!$B$9+(71*Inputs!$B$21))</f>
        <v>47286</v>
      </c>
      <c r="D1098" s="23">
        <f t="shared" si="161"/>
        <v>14</v>
      </c>
      <c r="E1098" s="25">
        <f t="shared" si="162"/>
        <v>4597.0600000000004</v>
      </c>
      <c r="F1098" s="25">
        <f>IF($E1098="","",ROUND(MIN(Comparison!$E$5,MAX(0,$E1098+$H1097+$H1098-$M1097)),2))</f>
        <v>493.81</v>
      </c>
      <c r="G1098" s="25">
        <f>IF($E1098="","",ROUND(MIN(Inputs!$B$10,MAX(0,$E1098+$H1097+$H1098-$M1097-$F1098)),2))</f>
        <v>0</v>
      </c>
      <c r="H1098" s="25">
        <f>IF($E1098="","",ROUND(IF(Inputs!$B$12="Daily Simple Interest",$E1098*Inputs!$B$6/Inputs!$B$17*$D1098,$E1098*Inputs!$B$6/Inputs!$B$20),2))</f>
        <v>12.78</v>
      </c>
      <c r="I1098" s="25">
        <f>IF($E1098="","",ROUND($L1098-$H1097-$H1098,2))</f>
        <v>962.06</v>
      </c>
      <c r="J1098" s="25">
        <f>IF($E1098="","",IF($F1098+$G1098&gt;0,Inputs!$B$11,0))</f>
        <v>0</v>
      </c>
      <c r="K1098" s="25">
        <f>IF($E1098="","",ROUND(MAX(0,$E1098-$I1098),2))</f>
        <v>3635</v>
      </c>
      <c r="L1098" s="25">
        <f>IF($E1098="","",$M1097+$F1098+$G1098)</f>
        <v>987.62</v>
      </c>
      <c r="M1098" s="25">
        <f>IF($E1098="","",0)</f>
        <v>0</v>
      </c>
      <c r="N1098" s="84" t="str">
        <f>IF($E1098="","",IF($K1098&lt;=0.005,"PAID OFF","POSTED"))</f>
        <v>POSTED</v>
      </c>
      <c r="O1098" s="23">
        <f t="shared" si="163"/>
        <v>1</v>
      </c>
    </row>
    <row r="1099" spans="1:15" ht="20" customHeight="1">
      <c r="A1099" s="22" t="str">
        <f t="shared" si="160"/>
        <v>Biweekly Held by Lender</v>
      </c>
      <c r="B1099" s="23">
        <f>IF($E1099="","",73)</f>
        <v>73</v>
      </c>
      <c r="C1099" s="24">
        <f>IF($E1099="","",Inputs!$B$9+(72*Inputs!$B$21))</f>
        <v>47300</v>
      </c>
      <c r="D1099" s="23">
        <f t="shared" si="161"/>
        <v>14</v>
      </c>
      <c r="E1099" s="25">
        <f t="shared" si="162"/>
        <v>3635</v>
      </c>
      <c r="F1099" s="25">
        <f>IF($E1099="","",ROUND(MIN(Comparison!$E$5,MAX(0,$E1099+$H1099)),2))</f>
        <v>493.81</v>
      </c>
      <c r="G1099" s="25">
        <f>IF($E1099="","",ROUND(MIN(Inputs!$B$10,MAX(0,$E1099+$H1099-$F1099)),2))</f>
        <v>0</v>
      </c>
      <c r="H1099" s="25">
        <f>IF($E1099="","",ROUND(IF(Inputs!$B$12="Daily Simple Interest",$E1099*Inputs!$B$6/Inputs!$B$17*$D1099,$E1099*Inputs!$B$6/Inputs!$B$20),2))</f>
        <v>10.11</v>
      </c>
      <c r="I1099" s="25">
        <f>IF($E1099="","",0)</f>
        <v>0</v>
      </c>
      <c r="J1099" s="25">
        <f>IF($E1099="","",IF($F1099+$G1099&gt;0,Inputs!$B$11,0))</f>
        <v>0</v>
      </c>
      <c r="K1099" s="25">
        <f>IF($E1099="","",$E1099)</f>
        <v>3635</v>
      </c>
      <c r="L1099" s="25">
        <f>IF($E1099="","",0)</f>
        <v>0</v>
      </c>
      <c r="M1099" s="25">
        <f>IF($E1099="","",$F1099+$G1099)</f>
        <v>493.81</v>
      </c>
      <c r="N1099" s="84" t="str">
        <f>IF($E1099="","","HELD")</f>
        <v>HELD</v>
      </c>
      <c r="O1099" s="23">
        <f t="shared" si="163"/>
        <v>1</v>
      </c>
    </row>
    <row r="1100" spans="1:15" ht="20" customHeight="1">
      <c r="A1100" s="22" t="str">
        <f t="shared" si="160"/>
        <v>Biweekly Held by Lender</v>
      </c>
      <c r="B1100" s="23">
        <f>IF($E1100="","",74)</f>
        <v>74</v>
      </c>
      <c r="C1100" s="24">
        <f>IF($E1100="","",Inputs!$B$9+(73*Inputs!$B$21))</f>
        <v>47314</v>
      </c>
      <c r="D1100" s="23">
        <f t="shared" si="161"/>
        <v>14</v>
      </c>
      <c r="E1100" s="25">
        <f t="shared" si="162"/>
        <v>3635</v>
      </c>
      <c r="F1100" s="25">
        <f>IF($E1100="","",ROUND(MIN(Comparison!$E$5,MAX(0,$E1100+$H1099+$H1100-$M1099)),2))</f>
        <v>493.81</v>
      </c>
      <c r="G1100" s="25">
        <f>IF($E1100="","",ROUND(MIN(Inputs!$B$10,MAX(0,$E1100+$H1099+$H1100-$M1099-$F1100)),2))</f>
        <v>0</v>
      </c>
      <c r="H1100" s="25">
        <f>IF($E1100="","",ROUND(IF(Inputs!$B$12="Daily Simple Interest",$E1100*Inputs!$B$6/Inputs!$B$17*$D1100,$E1100*Inputs!$B$6/Inputs!$B$20),2))</f>
        <v>10.11</v>
      </c>
      <c r="I1100" s="25">
        <f>IF($E1100="","",ROUND($L1100-$H1099-$H1100,2))</f>
        <v>967.4</v>
      </c>
      <c r="J1100" s="25">
        <f>IF($E1100="","",IF($F1100+$G1100&gt;0,Inputs!$B$11,0))</f>
        <v>0</v>
      </c>
      <c r="K1100" s="25">
        <f>IF($E1100="","",ROUND(MAX(0,$E1100-$I1100),2))</f>
        <v>2667.6</v>
      </c>
      <c r="L1100" s="25">
        <f>IF($E1100="","",$M1099+$F1100+$G1100)</f>
        <v>987.62</v>
      </c>
      <c r="M1100" s="25">
        <f>IF($E1100="","",0)</f>
        <v>0</v>
      </c>
      <c r="N1100" s="84" t="str">
        <f>IF($E1100="","",IF($K1100&lt;=0.005,"PAID OFF","POSTED"))</f>
        <v>POSTED</v>
      </c>
      <c r="O1100" s="23">
        <f t="shared" si="163"/>
        <v>1</v>
      </c>
    </row>
    <row r="1101" spans="1:15" ht="20" customHeight="1">
      <c r="A1101" s="22" t="str">
        <f t="shared" si="160"/>
        <v>Biweekly Held by Lender</v>
      </c>
      <c r="B1101" s="23">
        <f>IF($E1101="","",75)</f>
        <v>75</v>
      </c>
      <c r="C1101" s="24">
        <f>IF($E1101="","",Inputs!$B$9+(74*Inputs!$B$21))</f>
        <v>47328</v>
      </c>
      <c r="D1101" s="23">
        <f t="shared" si="161"/>
        <v>14</v>
      </c>
      <c r="E1101" s="25">
        <f t="shared" si="162"/>
        <v>2667.6</v>
      </c>
      <c r="F1101" s="25">
        <f>IF($E1101="","",ROUND(MIN(Comparison!$E$5,MAX(0,$E1101+$H1101)),2))</f>
        <v>493.81</v>
      </c>
      <c r="G1101" s="25">
        <f>IF($E1101="","",ROUND(MIN(Inputs!$B$10,MAX(0,$E1101+$H1101-$F1101)),2))</f>
        <v>0</v>
      </c>
      <c r="H1101" s="25">
        <f>IF($E1101="","",ROUND(IF(Inputs!$B$12="Daily Simple Interest",$E1101*Inputs!$B$6/Inputs!$B$17*$D1101,$E1101*Inputs!$B$6/Inputs!$B$20),2))</f>
        <v>7.42</v>
      </c>
      <c r="I1101" s="25">
        <f>IF($E1101="","",0)</f>
        <v>0</v>
      </c>
      <c r="J1101" s="25">
        <f>IF($E1101="","",IF($F1101+$G1101&gt;0,Inputs!$B$11,0))</f>
        <v>0</v>
      </c>
      <c r="K1101" s="25">
        <f>IF($E1101="","",$E1101)</f>
        <v>2667.6</v>
      </c>
      <c r="L1101" s="25">
        <f>IF($E1101="","",0)</f>
        <v>0</v>
      </c>
      <c r="M1101" s="25">
        <f>IF($E1101="","",$F1101+$G1101)</f>
        <v>493.81</v>
      </c>
      <c r="N1101" s="84" t="str">
        <f>IF($E1101="","","HELD")</f>
        <v>HELD</v>
      </c>
      <c r="O1101" s="23">
        <f t="shared" si="163"/>
        <v>1</v>
      </c>
    </row>
    <row r="1102" spans="1:15" ht="20" customHeight="1">
      <c r="A1102" s="22" t="str">
        <f t="shared" si="160"/>
        <v>Biweekly Held by Lender</v>
      </c>
      <c r="B1102" s="23">
        <f>IF($E1102="","",76)</f>
        <v>76</v>
      </c>
      <c r="C1102" s="24">
        <f>IF($E1102="","",Inputs!$B$9+(75*Inputs!$B$21))</f>
        <v>47342</v>
      </c>
      <c r="D1102" s="23">
        <f t="shared" si="161"/>
        <v>14</v>
      </c>
      <c r="E1102" s="25">
        <f t="shared" si="162"/>
        <v>2667.6</v>
      </c>
      <c r="F1102" s="25">
        <f>IF($E1102="","",ROUND(MIN(Comparison!$E$5,MAX(0,$E1102+$H1101+$H1102-$M1101)),2))</f>
        <v>493.81</v>
      </c>
      <c r="G1102" s="25">
        <f>IF($E1102="","",ROUND(MIN(Inputs!$B$10,MAX(0,$E1102+$H1101+$H1102-$M1101-$F1102)),2))</f>
        <v>0</v>
      </c>
      <c r="H1102" s="25">
        <f>IF($E1102="","",ROUND(IF(Inputs!$B$12="Daily Simple Interest",$E1102*Inputs!$B$6/Inputs!$B$17*$D1102,$E1102*Inputs!$B$6/Inputs!$B$20),2))</f>
        <v>7.42</v>
      </c>
      <c r="I1102" s="25">
        <f>IF($E1102="","",ROUND($L1102-$H1101-$H1102,2))</f>
        <v>972.78</v>
      </c>
      <c r="J1102" s="25">
        <f>IF($E1102="","",IF($F1102+$G1102&gt;0,Inputs!$B$11,0))</f>
        <v>0</v>
      </c>
      <c r="K1102" s="25">
        <f>IF($E1102="","",ROUND(MAX(0,$E1102-$I1102),2))</f>
        <v>1694.82</v>
      </c>
      <c r="L1102" s="25">
        <f>IF($E1102="","",$M1101+$F1102+$G1102)</f>
        <v>987.62</v>
      </c>
      <c r="M1102" s="25">
        <f>IF($E1102="","",0)</f>
        <v>0</v>
      </c>
      <c r="N1102" s="84" t="str">
        <f>IF($E1102="","",IF($K1102&lt;=0.005,"PAID OFF","POSTED"))</f>
        <v>POSTED</v>
      </c>
      <c r="O1102" s="23">
        <f t="shared" si="163"/>
        <v>1</v>
      </c>
    </row>
    <row r="1103" spans="1:15" ht="20" customHeight="1">
      <c r="A1103" s="22" t="str">
        <f t="shared" si="160"/>
        <v>Biweekly Held by Lender</v>
      </c>
      <c r="B1103" s="23">
        <f>IF($E1103="","",77)</f>
        <v>77</v>
      </c>
      <c r="C1103" s="24">
        <f>IF($E1103="","",Inputs!$B$9+(76*Inputs!$B$21))</f>
        <v>47356</v>
      </c>
      <c r="D1103" s="23">
        <f t="shared" si="161"/>
        <v>14</v>
      </c>
      <c r="E1103" s="25">
        <f t="shared" si="162"/>
        <v>1694.82</v>
      </c>
      <c r="F1103" s="25">
        <f>IF($E1103="","",ROUND(MIN(Comparison!$E$5,MAX(0,$E1103+$H1103)),2))</f>
        <v>493.81</v>
      </c>
      <c r="G1103" s="25">
        <f>IF($E1103="","",ROUND(MIN(Inputs!$B$10,MAX(0,$E1103+$H1103-$F1103)),2))</f>
        <v>0</v>
      </c>
      <c r="H1103" s="25">
        <f>IF($E1103="","",ROUND(IF(Inputs!$B$12="Daily Simple Interest",$E1103*Inputs!$B$6/Inputs!$B$17*$D1103,$E1103*Inputs!$B$6/Inputs!$B$20),2))</f>
        <v>4.71</v>
      </c>
      <c r="I1103" s="25">
        <f>IF($E1103="","",0)</f>
        <v>0</v>
      </c>
      <c r="J1103" s="25">
        <f>IF($E1103="","",IF($F1103+$G1103&gt;0,Inputs!$B$11,0))</f>
        <v>0</v>
      </c>
      <c r="K1103" s="25">
        <f>IF($E1103="","",$E1103)</f>
        <v>1694.82</v>
      </c>
      <c r="L1103" s="25">
        <f>IF($E1103="","",0)</f>
        <v>0</v>
      </c>
      <c r="M1103" s="25">
        <f>IF($E1103="","",$F1103+$G1103)</f>
        <v>493.81</v>
      </c>
      <c r="N1103" s="84" t="str">
        <f>IF($E1103="","","HELD")</f>
        <v>HELD</v>
      </c>
      <c r="O1103" s="23">
        <f t="shared" si="163"/>
        <v>1</v>
      </c>
    </row>
    <row r="1104" spans="1:15" ht="20" customHeight="1">
      <c r="A1104" s="22" t="str">
        <f t="shared" si="160"/>
        <v>Biweekly Held by Lender</v>
      </c>
      <c r="B1104" s="23">
        <f>IF($E1104="","",78)</f>
        <v>78</v>
      </c>
      <c r="C1104" s="24">
        <f>IF($E1104="","",Inputs!$B$9+(77*Inputs!$B$21))</f>
        <v>47370</v>
      </c>
      <c r="D1104" s="23">
        <f t="shared" si="161"/>
        <v>14</v>
      </c>
      <c r="E1104" s="25">
        <f t="shared" si="162"/>
        <v>1694.82</v>
      </c>
      <c r="F1104" s="25">
        <f>IF($E1104="","",ROUND(MIN(Comparison!$E$5,MAX(0,$E1104+$H1103+$H1104-$M1103)),2))</f>
        <v>493.81</v>
      </c>
      <c r="G1104" s="25">
        <f>IF($E1104="","",ROUND(MIN(Inputs!$B$10,MAX(0,$E1104+$H1103+$H1104-$M1103-$F1104)),2))</f>
        <v>0</v>
      </c>
      <c r="H1104" s="25">
        <f>IF($E1104="","",ROUND(IF(Inputs!$B$12="Daily Simple Interest",$E1104*Inputs!$B$6/Inputs!$B$17*$D1104,$E1104*Inputs!$B$6/Inputs!$B$20),2))</f>
        <v>4.71</v>
      </c>
      <c r="I1104" s="25">
        <f>IF($E1104="","",ROUND($L1104-$H1103-$H1104,2))</f>
        <v>978.2</v>
      </c>
      <c r="J1104" s="25">
        <f>IF($E1104="","",IF($F1104+$G1104&gt;0,Inputs!$B$11,0))</f>
        <v>0</v>
      </c>
      <c r="K1104" s="25">
        <f>IF($E1104="","",ROUND(MAX(0,$E1104-$I1104),2))</f>
        <v>716.62</v>
      </c>
      <c r="L1104" s="25">
        <f>IF($E1104="","",$M1103+$F1104+$G1104)</f>
        <v>987.62</v>
      </c>
      <c r="M1104" s="25">
        <f>IF($E1104="","",0)</f>
        <v>0</v>
      </c>
      <c r="N1104" s="84" t="str">
        <f>IF($E1104="","",IF($K1104&lt;=0.005,"PAID OFF","POSTED"))</f>
        <v>POSTED</v>
      </c>
      <c r="O1104" s="23">
        <f t="shared" si="163"/>
        <v>1</v>
      </c>
    </row>
    <row r="1105" spans="1:15" ht="20" customHeight="1">
      <c r="A1105" s="22" t="str">
        <f t="shared" si="160"/>
        <v>Biweekly Held by Lender</v>
      </c>
      <c r="B1105" s="23">
        <f>IF($E1105="","",79)</f>
        <v>79</v>
      </c>
      <c r="C1105" s="24">
        <f>IF($E1105="","",Inputs!$B$9+(78*Inputs!$B$21))</f>
        <v>47384</v>
      </c>
      <c r="D1105" s="23">
        <f t="shared" si="161"/>
        <v>14</v>
      </c>
      <c r="E1105" s="25">
        <f t="shared" si="162"/>
        <v>716.62</v>
      </c>
      <c r="F1105" s="25">
        <f>IF($E1105="","",ROUND(MIN(Comparison!$E$5,MAX(0,$E1105+$H1105)),2))</f>
        <v>493.81</v>
      </c>
      <c r="G1105" s="25">
        <f>IF($E1105="","",ROUND(MIN(Inputs!$B$10,MAX(0,$E1105+$H1105-$F1105)),2))</f>
        <v>0</v>
      </c>
      <c r="H1105" s="25">
        <f>IF($E1105="","",ROUND(IF(Inputs!$B$12="Daily Simple Interest",$E1105*Inputs!$B$6/Inputs!$B$17*$D1105,$E1105*Inputs!$B$6/Inputs!$B$20),2))</f>
        <v>1.99</v>
      </c>
      <c r="I1105" s="25">
        <f>IF($E1105="","",0)</f>
        <v>0</v>
      </c>
      <c r="J1105" s="25">
        <f>IF($E1105="","",IF($F1105+$G1105&gt;0,Inputs!$B$11,0))</f>
        <v>0</v>
      </c>
      <c r="K1105" s="25">
        <f>IF($E1105="","",$E1105)</f>
        <v>716.62</v>
      </c>
      <c r="L1105" s="25">
        <f>IF($E1105="","",0)</f>
        <v>0</v>
      </c>
      <c r="M1105" s="25">
        <f>IF($E1105="","",$F1105+$G1105)</f>
        <v>493.81</v>
      </c>
      <c r="N1105" s="84" t="str">
        <f>IF($E1105="","","HELD")</f>
        <v>HELD</v>
      </c>
      <c r="O1105" s="23">
        <f t="shared" si="163"/>
        <v>1</v>
      </c>
    </row>
    <row r="1106" spans="1:15" ht="20" customHeight="1">
      <c r="A1106" s="22" t="str">
        <f t="shared" si="160"/>
        <v>Biweekly Held by Lender</v>
      </c>
      <c r="B1106" s="23">
        <f>IF($E1106="","",80)</f>
        <v>80</v>
      </c>
      <c r="C1106" s="24">
        <f>IF($E1106="","",Inputs!$B$9+(79*Inputs!$B$21))</f>
        <v>47398</v>
      </c>
      <c r="D1106" s="23">
        <f t="shared" si="161"/>
        <v>14</v>
      </c>
      <c r="E1106" s="25">
        <f t="shared" si="162"/>
        <v>716.62</v>
      </c>
      <c r="F1106" s="25">
        <f>IF($E1106="","",ROUND(MIN(Comparison!$E$5,MAX(0,$E1106+$H1105+$H1106-$M1105)),2))</f>
        <v>226.79</v>
      </c>
      <c r="G1106" s="25">
        <f>IF($E1106="","",ROUND(MIN(Inputs!$B$10,MAX(0,$E1106+$H1105+$H1106-$M1105-$F1106)),2))</f>
        <v>0</v>
      </c>
      <c r="H1106" s="25">
        <f>IF($E1106="","",ROUND(IF(Inputs!$B$12="Daily Simple Interest",$E1106*Inputs!$B$6/Inputs!$B$17*$D1106,$E1106*Inputs!$B$6/Inputs!$B$20),2))</f>
        <v>1.99</v>
      </c>
      <c r="I1106" s="25">
        <f>IF($E1106="","",ROUND($L1106-$H1105-$H1106,2))</f>
        <v>716.62</v>
      </c>
      <c r="J1106" s="25">
        <f>IF($E1106="","",IF($F1106+$G1106&gt;0,Inputs!$B$11,0))</f>
        <v>0</v>
      </c>
      <c r="K1106" s="25">
        <f>IF($E1106="","",ROUND(MAX(0,$E1106-$I1106),2))</f>
        <v>0</v>
      </c>
      <c r="L1106" s="25">
        <f>IF($E1106="","",$M1105+$F1106+$G1106)</f>
        <v>720.6</v>
      </c>
      <c r="M1106" s="25">
        <f>IF($E1106="","",0)</f>
        <v>0</v>
      </c>
      <c r="N1106" s="84" t="str">
        <f>IF($E1106="","",IF($K1106&lt;=0.005,"PAID OFF","POSTED"))</f>
        <v>PAID OFF</v>
      </c>
      <c r="O1106" s="23">
        <f t="shared" si="163"/>
        <v>1</v>
      </c>
    </row>
    <row r="1107" spans="1:15" ht="20" customHeight="1">
      <c r="A1107" s="22" t="str">
        <f t="shared" si="160"/>
        <v/>
      </c>
      <c r="B1107" s="23" t="str">
        <f>IF($E1107="","",81)</f>
        <v/>
      </c>
      <c r="C1107" s="24" t="str">
        <f>IF($E1107="","",Inputs!$B$9+(80*Inputs!$B$21))</f>
        <v/>
      </c>
      <c r="D1107" s="23" t="str">
        <f t="shared" si="161"/>
        <v/>
      </c>
      <c r="E1107" s="25" t="str">
        <f t="shared" si="162"/>
        <v/>
      </c>
      <c r="F1107" s="25" t="str">
        <f>IF($E1107="","",ROUND(MIN(Comparison!$E$5,MAX(0,$E1107+$H1107)),2))</f>
        <v/>
      </c>
      <c r="G1107" s="25" t="str">
        <f>IF($E1107="","",ROUND(MIN(Inputs!$B$10,MAX(0,$E1107+$H1107-$F1107)),2))</f>
        <v/>
      </c>
      <c r="H1107" s="25" t="str">
        <f>IF($E1107="","",ROUND(IF(Inputs!$B$12="Daily Simple Interest",$E1107*Inputs!$B$6/Inputs!$B$17*$D1107,$E1107*Inputs!$B$6/Inputs!$B$20),2))</f>
        <v/>
      </c>
      <c r="I1107" s="25" t="str">
        <f>IF($E1107="","",0)</f>
        <v/>
      </c>
      <c r="J1107" s="25" t="str">
        <f>IF($E1107="","",IF($F1107+$G1107&gt;0,Inputs!$B$11,0))</f>
        <v/>
      </c>
      <c r="K1107" s="25" t="str">
        <f>IF($E1107="","",$E1107)</f>
        <v/>
      </c>
      <c r="L1107" s="25" t="str">
        <f>IF($E1107="","",0)</f>
        <v/>
      </c>
      <c r="M1107" s="25" t="str">
        <f>IF($E1107="","",$F1107+$G1107)</f>
        <v/>
      </c>
      <c r="N1107" s="84" t="str">
        <f>IF($E1107="","","HELD")</f>
        <v/>
      </c>
      <c r="O1107" s="23" t="str">
        <f t="shared" si="163"/>
        <v/>
      </c>
    </row>
    <row r="1108" spans="1:15" ht="20" customHeight="1">
      <c r="A1108" s="22" t="str">
        <f t="shared" si="160"/>
        <v/>
      </c>
      <c r="B1108" s="23" t="str">
        <f>IF($E1108="","",82)</f>
        <v/>
      </c>
      <c r="C1108" s="24" t="str">
        <f>IF($E1108="","",Inputs!$B$9+(81*Inputs!$B$21))</f>
        <v/>
      </c>
      <c r="D1108" s="23" t="str">
        <f t="shared" si="161"/>
        <v/>
      </c>
      <c r="E1108" s="25" t="str">
        <f t="shared" si="162"/>
        <v/>
      </c>
      <c r="F1108" s="25" t="str">
        <f>IF($E1108="","",ROUND(MIN(Comparison!$E$5,MAX(0,$E1108+$H1107+$H1108-$M1107)),2))</f>
        <v/>
      </c>
      <c r="G1108" s="25" t="str">
        <f>IF($E1108="","",ROUND(MIN(Inputs!$B$10,MAX(0,$E1108+$H1107+$H1108-$M1107-$F1108)),2))</f>
        <v/>
      </c>
      <c r="H1108" s="25" t="str">
        <f>IF($E1108="","",ROUND(IF(Inputs!$B$12="Daily Simple Interest",$E1108*Inputs!$B$6/Inputs!$B$17*$D1108,$E1108*Inputs!$B$6/Inputs!$B$20),2))</f>
        <v/>
      </c>
      <c r="I1108" s="25" t="str">
        <f>IF($E1108="","",ROUND($L1108-$H1107-$H1108,2))</f>
        <v/>
      </c>
      <c r="J1108" s="25" t="str">
        <f>IF($E1108="","",IF($F1108+$G1108&gt;0,Inputs!$B$11,0))</f>
        <v/>
      </c>
      <c r="K1108" s="25" t="str">
        <f>IF($E1108="","",ROUND(MAX(0,$E1108-$I1108),2))</f>
        <v/>
      </c>
      <c r="L1108" s="25" t="str">
        <f>IF($E1108="","",$M1107+$F1108+$G1108)</f>
        <v/>
      </c>
      <c r="M1108" s="25" t="str">
        <f>IF($E1108="","",0)</f>
        <v/>
      </c>
      <c r="N1108" s="84" t="str">
        <f>IF($E1108="","",IF($K1108&lt;=0.005,"PAID OFF","POSTED"))</f>
        <v/>
      </c>
      <c r="O1108" s="23" t="str">
        <f t="shared" si="163"/>
        <v/>
      </c>
    </row>
    <row r="1109" spans="1:15" ht="20" customHeight="1">
      <c r="A1109" s="22" t="str">
        <f t="shared" si="160"/>
        <v/>
      </c>
      <c r="B1109" s="23" t="str">
        <f>IF($E1109="","",83)</f>
        <v/>
      </c>
      <c r="C1109" s="24" t="str">
        <f>IF($E1109="","",Inputs!$B$9+(82*Inputs!$B$21))</f>
        <v/>
      </c>
      <c r="D1109" s="23" t="str">
        <f t="shared" si="161"/>
        <v/>
      </c>
      <c r="E1109" s="25" t="str">
        <f t="shared" si="162"/>
        <v/>
      </c>
      <c r="F1109" s="25" t="str">
        <f>IF($E1109="","",ROUND(MIN(Comparison!$E$5,MAX(0,$E1109+$H1109)),2))</f>
        <v/>
      </c>
      <c r="G1109" s="25" t="str">
        <f>IF($E1109="","",ROUND(MIN(Inputs!$B$10,MAX(0,$E1109+$H1109-$F1109)),2))</f>
        <v/>
      </c>
      <c r="H1109" s="25" t="str">
        <f>IF($E1109="","",ROUND(IF(Inputs!$B$12="Daily Simple Interest",$E1109*Inputs!$B$6/Inputs!$B$17*$D1109,$E1109*Inputs!$B$6/Inputs!$B$20),2))</f>
        <v/>
      </c>
      <c r="I1109" s="25" t="str">
        <f>IF($E1109="","",0)</f>
        <v/>
      </c>
      <c r="J1109" s="25" t="str">
        <f>IF($E1109="","",IF($F1109+$G1109&gt;0,Inputs!$B$11,0))</f>
        <v/>
      </c>
      <c r="K1109" s="25" t="str">
        <f>IF($E1109="","",$E1109)</f>
        <v/>
      </c>
      <c r="L1109" s="25" t="str">
        <f>IF($E1109="","",0)</f>
        <v/>
      </c>
      <c r="M1109" s="25" t="str">
        <f>IF($E1109="","",$F1109+$G1109)</f>
        <v/>
      </c>
      <c r="N1109" s="84" t="str">
        <f>IF($E1109="","","HELD")</f>
        <v/>
      </c>
      <c r="O1109" s="23" t="str">
        <f t="shared" si="163"/>
        <v/>
      </c>
    </row>
    <row r="1110" spans="1:15" ht="20" customHeight="1">
      <c r="A1110" s="22" t="str">
        <f t="shared" si="160"/>
        <v/>
      </c>
      <c r="B1110" s="23" t="str">
        <f>IF($E1110="","",84)</f>
        <v/>
      </c>
      <c r="C1110" s="24" t="str">
        <f>IF($E1110="","",Inputs!$B$9+(83*Inputs!$B$21))</f>
        <v/>
      </c>
      <c r="D1110" s="23" t="str">
        <f t="shared" si="161"/>
        <v/>
      </c>
      <c r="E1110" s="25" t="str">
        <f t="shared" si="162"/>
        <v/>
      </c>
      <c r="F1110" s="25" t="str">
        <f>IF($E1110="","",ROUND(MIN(Comparison!$E$5,MAX(0,$E1110+$H1109+$H1110-$M1109)),2))</f>
        <v/>
      </c>
      <c r="G1110" s="25" t="str">
        <f>IF($E1110="","",ROUND(MIN(Inputs!$B$10,MAX(0,$E1110+$H1109+$H1110-$M1109-$F1110)),2))</f>
        <v/>
      </c>
      <c r="H1110" s="25" t="str">
        <f>IF($E1110="","",ROUND(IF(Inputs!$B$12="Daily Simple Interest",$E1110*Inputs!$B$6/Inputs!$B$17*$D1110,$E1110*Inputs!$B$6/Inputs!$B$20),2))</f>
        <v/>
      </c>
      <c r="I1110" s="25" t="str">
        <f>IF($E1110="","",ROUND($L1110-$H1109-$H1110,2))</f>
        <v/>
      </c>
      <c r="J1110" s="25" t="str">
        <f>IF($E1110="","",IF($F1110+$G1110&gt;0,Inputs!$B$11,0))</f>
        <v/>
      </c>
      <c r="K1110" s="25" t="str">
        <f>IF($E1110="","",ROUND(MAX(0,$E1110-$I1110),2))</f>
        <v/>
      </c>
      <c r="L1110" s="25" t="str">
        <f>IF($E1110="","",$M1109+$F1110+$G1110)</f>
        <v/>
      </c>
      <c r="M1110" s="25" t="str">
        <f>IF($E1110="","",0)</f>
        <v/>
      </c>
      <c r="N1110" s="84" t="str">
        <f>IF($E1110="","",IF($K1110&lt;=0.005,"PAID OFF","POSTED"))</f>
        <v/>
      </c>
      <c r="O1110" s="23" t="str">
        <f t="shared" si="163"/>
        <v/>
      </c>
    </row>
    <row r="1111" spans="1:15" ht="20" customHeight="1">
      <c r="A1111" s="22" t="str">
        <f t="shared" si="160"/>
        <v/>
      </c>
      <c r="B1111" s="23" t="str">
        <f>IF($E1111="","",85)</f>
        <v/>
      </c>
      <c r="C1111" s="24" t="str">
        <f>IF($E1111="","",Inputs!$B$9+(84*Inputs!$B$21))</f>
        <v/>
      </c>
      <c r="D1111" s="23" t="str">
        <f t="shared" si="161"/>
        <v/>
      </c>
      <c r="E1111" s="25" t="str">
        <f t="shared" si="162"/>
        <v/>
      </c>
      <c r="F1111" s="25" t="str">
        <f>IF($E1111="","",ROUND(MIN(Comparison!$E$5,MAX(0,$E1111+$H1111)),2))</f>
        <v/>
      </c>
      <c r="G1111" s="25" t="str">
        <f>IF($E1111="","",ROUND(MIN(Inputs!$B$10,MAX(0,$E1111+$H1111-$F1111)),2))</f>
        <v/>
      </c>
      <c r="H1111" s="25" t="str">
        <f>IF($E1111="","",ROUND(IF(Inputs!$B$12="Daily Simple Interest",$E1111*Inputs!$B$6/Inputs!$B$17*$D1111,$E1111*Inputs!$B$6/Inputs!$B$20),2))</f>
        <v/>
      </c>
      <c r="I1111" s="25" t="str">
        <f>IF($E1111="","",0)</f>
        <v/>
      </c>
      <c r="J1111" s="25" t="str">
        <f>IF($E1111="","",IF($F1111+$G1111&gt;0,Inputs!$B$11,0))</f>
        <v/>
      </c>
      <c r="K1111" s="25" t="str">
        <f>IF($E1111="","",$E1111)</f>
        <v/>
      </c>
      <c r="L1111" s="25" t="str">
        <f>IF($E1111="","",0)</f>
        <v/>
      </c>
      <c r="M1111" s="25" t="str">
        <f>IF($E1111="","",$F1111+$G1111)</f>
        <v/>
      </c>
      <c r="N1111" s="84" t="str">
        <f>IF($E1111="","","HELD")</f>
        <v/>
      </c>
      <c r="O1111" s="23" t="str">
        <f t="shared" si="163"/>
        <v/>
      </c>
    </row>
    <row r="1112" spans="1:15" ht="20" customHeight="1">
      <c r="A1112" s="22" t="str">
        <f t="shared" si="160"/>
        <v/>
      </c>
      <c r="B1112" s="23" t="str">
        <f>IF($E1112="","",86)</f>
        <v/>
      </c>
      <c r="C1112" s="24" t="str">
        <f>IF($E1112="","",Inputs!$B$9+(85*Inputs!$B$21))</f>
        <v/>
      </c>
      <c r="D1112" s="23" t="str">
        <f t="shared" si="161"/>
        <v/>
      </c>
      <c r="E1112" s="25" t="str">
        <f t="shared" si="162"/>
        <v/>
      </c>
      <c r="F1112" s="25" t="str">
        <f>IF($E1112="","",ROUND(MIN(Comparison!$E$5,MAX(0,$E1112+$H1111+$H1112-$M1111)),2))</f>
        <v/>
      </c>
      <c r="G1112" s="25" t="str">
        <f>IF($E1112="","",ROUND(MIN(Inputs!$B$10,MAX(0,$E1112+$H1111+$H1112-$M1111-$F1112)),2))</f>
        <v/>
      </c>
      <c r="H1112" s="25" t="str">
        <f>IF($E1112="","",ROUND(IF(Inputs!$B$12="Daily Simple Interest",$E1112*Inputs!$B$6/Inputs!$B$17*$D1112,$E1112*Inputs!$B$6/Inputs!$B$20),2))</f>
        <v/>
      </c>
      <c r="I1112" s="25" t="str">
        <f>IF($E1112="","",ROUND($L1112-$H1111-$H1112,2))</f>
        <v/>
      </c>
      <c r="J1112" s="25" t="str">
        <f>IF($E1112="","",IF($F1112+$G1112&gt;0,Inputs!$B$11,0))</f>
        <v/>
      </c>
      <c r="K1112" s="25" t="str">
        <f>IF($E1112="","",ROUND(MAX(0,$E1112-$I1112),2))</f>
        <v/>
      </c>
      <c r="L1112" s="25" t="str">
        <f>IF($E1112="","",$M1111+$F1112+$G1112)</f>
        <v/>
      </c>
      <c r="M1112" s="25" t="str">
        <f>IF($E1112="","",0)</f>
        <v/>
      </c>
      <c r="N1112" s="84" t="str">
        <f>IF($E1112="","",IF($K1112&lt;=0.005,"PAID OFF","POSTED"))</f>
        <v/>
      </c>
      <c r="O1112" s="23" t="str">
        <f t="shared" si="163"/>
        <v/>
      </c>
    </row>
    <row r="1113" spans="1:15" ht="20" customHeight="1">
      <c r="A1113" s="22" t="str">
        <f t="shared" si="160"/>
        <v/>
      </c>
      <c r="B1113" s="23" t="str">
        <f>IF($E1113="","",87)</f>
        <v/>
      </c>
      <c r="C1113" s="24" t="str">
        <f>IF($E1113="","",Inputs!$B$9+(86*Inputs!$B$21))</f>
        <v/>
      </c>
      <c r="D1113" s="23" t="str">
        <f t="shared" si="161"/>
        <v/>
      </c>
      <c r="E1113" s="25" t="str">
        <f t="shared" si="162"/>
        <v/>
      </c>
      <c r="F1113" s="25" t="str">
        <f>IF($E1113="","",ROUND(MIN(Comparison!$E$5,MAX(0,$E1113+$H1113)),2))</f>
        <v/>
      </c>
      <c r="G1113" s="25" t="str">
        <f>IF($E1113="","",ROUND(MIN(Inputs!$B$10,MAX(0,$E1113+$H1113-$F1113)),2))</f>
        <v/>
      </c>
      <c r="H1113" s="25" t="str">
        <f>IF($E1113="","",ROUND(IF(Inputs!$B$12="Daily Simple Interest",$E1113*Inputs!$B$6/Inputs!$B$17*$D1113,$E1113*Inputs!$B$6/Inputs!$B$20),2))</f>
        <v/>
      </c>
      <c r="I1113" s="25" t="str">
        <f>IF($E1113="","",0)</f>
        <v/>
      </c>
      <c r="J1113" s="25" t="str">
        <f>IF($E1113="","",IF($F1113+$G1113&gt;0,Inputs!$B$11,0))</f>
        <v/>
      </c>
      <c r="K1113" s="25" t="str">
        <f>IF($E1113="","",$E1113)</f>
        <v/>
      </c>
      <c r="L1113" s="25" t="str">
        <f>IF($E1113="","",0)</f>
        <v/>
      </c>
      <c r="M1113" s="25" t="str">
        <f>IF($E1113="","",$F1113+$G1113)</f>
        <v/>
      </c>
      <c r="N1113" s="84" t="str">
        <f>IF($E1113="","","HELD")</f>
        <v/>
      </c>
      <c r="O1113" s="23" t="str">
        <f t="shared" si="163"/>
        <v/>
      </c>
    </row>
    <row r="1114" spans="1:15" ht="20" customHeight="1">
      <c r="A1114" s="22" t="str">
        <f t="shared" si="160"/>
        <v/>
      </c>
      <c r="B1114" s="23" t="str">
        <f>IF($E1114="","",88)</f>
        <v/>
      </c>
      <c r="C1114" s="24" t="str">
        <f>IF($E1114="","",Inputs!$B$9+(87*Inputs!$B$21))</f>
        <v/>
      </c>
      <c r="D1114" s="23" t="str">
        <f t="shared" si="161"/>
        <v/>
      </c>
      <c r="E1114" s="25" t="str">
        <f t="shared" si="162"/>
        <v/>
      </c>
      <c r="F1114" s="25" t="str">
        <f>IF($E1114="","",ROUND(MIN(Comparison!$E$5,MAX(0,$E1114+$H1113+$H1114-$M1113)),2))</f>
        <v/>
      </c>
      <c r="G1114" s="25" t="str">
        <f>IF($E1114="","",ROUND(MIN(Inputs!$B$10,MAX(0,$E1114+$H1113+$H1114-$M1113-$F1114)),2))</f>
        <v/>
      </c>
      <c r="H1114" s="25" t="str">
        <f>IF($E1114="","",ROUND(IF(Inputs!$B$12="Daily Simple Interest",$E1114*Inputs!$B$6/Inputs!$B$17*$D1114,$E1114*Inputs!$B$6/Inputs!$B$20),2))</f>
        <v/>
      </c>
      <c r="I1114" s="25" t="str">
        <f>IF($E1114="","",ROUND($L1114-$H1113-$H1114,2))</f>
        <v/>
      </c>
      <c r="J1114" s="25" t="str">
        <f>IF($E1114="","",IF($F1114+$G1114&gt;0,Inputs!$B$11,0))</f>
        <v/>
      </c>
      <c r="K1114" s="25" t="str">
        <f>IF($E1114="","",ROUND(MAX(0,$E1114-$I1114),2))</f>
        <v/>
      </c>
      <c r="L1114" s="25" t="str">
        <f>IF($E1114="","",$M1113+$F1114+$G1114)</f>
        <v/>
      </c>
      <c r="M1114" s="25" t="str">
        <f>IF($E1114="","",0)</f>
        <v/>
      </c>
      <c r="N1114" s="84" t="str">
        <f>IF($E1114="","",IF($K1114&lt;=0.005,"PAID OFF","POSTED"))</f>
        <v/>
      </c>
      <c r="O1114" s="23" t="str">
        <f t="shared" si="163"/>
        <v/>
      </c>
    </row>
    <row r="1115" spans="1:15" ht="20" customHeight="1">
      <c r="A1115" s="22" t="str">
        <f t="shared" si="160"/>
        <v/>
      </c>
      <c r="B1115" s="23" t="str">
        <f>IF($E1115="","",89)</f>
        <v/>
      </c>
      <c r="C1115" s="24" t="str">
        <f>IF($E1115="","",Inputs!$B$9+(88*Inputs!$B$21))</f>
        <v/>
      </c>
      <c r="D1115" s="23" t="str">
        <f t="shared" si="161"/>
        <v/>
      </c>
      <c r="E1115" s="25" t="str">
        <f t="shared" si="162"/>
        <v/>
      </c>
      <c r="F1115" s="25" t="str">
        <f>IF($E1115="","",ROUND(MIN(Comparison!$E$5,MAX(0,$E1115+$H1115)),2))</f>
        <v/>
      </c>
      <c r="G1115" s="25" t="str">
        <f>IF($E1115="","",ROUND(MIN(Inputs!$B$10,MAX(0,$E1115+$H1115-$F1115)),2))</f>
        <v/>
      </c>
      <c r="H1115" s="25" t="str">
        <f>IF($E1115="","",ROUND(IF(Inputs!$B$12="Daily Simple Interest",$E1115*Inputs!$B$6/Inputs!$B$17*$D1115,$E1115*Inputs!$B$6/Inputs!$B$20),2))</f>
        <v/>
      </c>
      <c r="I1115" s="25" t="str">
        <f>IF($E1115="","",0)</f>
        <v/>
      </c>
      <c r="J1115" s="25" t="str">
        <f>IF($E1115="","",IF($F1115+$G1115&gt;0,Inputs!$B$11,0))</f>
        <v/>
      </c>
      <c r="K1115" s="25" t="str">
        <f>IF($E1115="","",$E1115)</f>
        <v/>
      </c>
      <c r="L1115" s="25" t="str">
        <f>IF($E1115="","",0)</f>
        <v/>
      </c>
      <c r="M1115" s="25" t="str">
        <f>IF($E1115="","",$F1115+$G1115)</f>
        <v/>
      </c>
      <c r="N1115" s="84" t="str">
        <f>IF($E1115="","","HELD")</f>
        <v/>
      </c>
      <c r="O1115" s="23" t="str">
        <f t="shared" si="163"/>
        <v/>
      </c>
    </row>
    <row r="1116" spans="1:15" ht="20" customHeight="1">
      <c r="A1116" s="22" t="str">
        <f t="shared" si="160"/>
        <v/>
      </c>
      <c r="B1116" s="23" t="str">
        <f>IF($E1116="","",90)</f>
        <v/>
      </c>
      <c r="C1116" s="24" t="str">
        <f>IF($E1116="","",Inputs!$B$9+(89*Inputs!$B$21))</f>
        <v/>
      </c>
      <c r="D1116" s="23" t="str">
        <f t="shared" si="161"/>
        <v/>
      </c>
      <c r="E1116" s="25" t="str">
        <f t="shared" si="162"/>
        <v/>
      </c>
      <c r="F1116" s="25" t="str">
        <f>IF($E1116="","",ROUND(MIN(Comparison!$E$5,MAX(0,$E1116+$H1115+$H1116-$M1115)),2))</f>
        <v/>
      </c>
      <c r="G1116" s="25" t="str">
        <f>IF($E1116="","",ROUND(MIN(Inputs!$B$10,MAX(0,$E1116+$H1115+$H1116-$M1115-$F1116)),2))</f>
        <v/>
      </c>
      <c r="H1116" s="25" t="str">
        <f>IF($E1116="","",ROUND(IF(Inputs!$B$12="Daily Simple Interest",$E1116*Inputs!$B$6/Inputs!$B$17*$D1116,$E1116*Inputs!$B$6/Inputs!$B$20),2))</f>
        <v/>
      </c>
      <c r="I1116" s="25" t="str">
        <f>IF($E1116="","",ROUND($L1116-$H1115-$H1116,2))</f>
        <v/>
      </c>
      <c r="J1116" s="25" t="str">
        <f>IF($E1116="","",IF($F1116+$G1116&gt;0,Inputs!$B$11,0))</f>
        <v/>
      </c>
      <c r="K1116" s="25" t="str">
        <f>IF($E1116="","",ROUND(MAX(0,$E1116-$I1116),2))</f>
        <v/>
      </c>
      <c r="L1116" s="25" t="str">
        <f>IF($E1116="","",$M1115+$F1116+$G1116)</f>
        <v/>
      </c>
      <c r="M1116" s="25" t="str">
        <f>IF($E1116="","",0)</f>
        <v/>
      </c>
      <c r="N1116" s="84" t="str">
        <f>IF($E1116="","",IF($K1116&lt;=0.005,"PAID OFF","POSTED"))</f>
        <v/>
      </c>
      <c r="O1116" s="23" t="str">
        <f t="shared" si="163"/>
        <v/>
      </c>
    </row>
    <row r="1117" spans="1:15" ht="20" customHeight="1">
      <c r="A1117" s="22" t="str">
        <f t="shared" si="160"/>
        <v/>
      </c>
      <c r="B1117" s="23" t="str">
        <f>IF($E1117="","",91)</f>
        <v/>
      </c>
      <c r="C1117" s="24" t="str">
        <f>IF($E1117="","",Inputs!$B$9+(90*Inputs!$B$21))</f>
        <v/>
      </c>
      <c r="D1117" s="23" t="str">
        <f t="shared" si="161"/>
        <v/>
      </c>
      <c r="E1117" s="25" t="str">
        <f t="shared" si="162"/>
        <v/>
      </c>
      <c r="F1117" s="25" t="str">
        <f>IF($E1117="","",ROUND(MIN(Comparison!$E$5,MAX(0,$E1117+$H1117)),2))</f>
        <v/>
      </c>
      <c r="G1117" s="25" t="str">
        <f>IF($E1117="","",ROUND(MIN(Inputs!$B$10,MAX(0,$E1117+$H1117-$F1117)),2))</f>
        <v/>
      </c>
      <c r="H1117" s="25" t="str">
        <f>IF($E1117="","",ROUND(IF(Inputs!$B$12="Daily Simple Interest",$E1117*Inputs!$B$6/Inputs!$B$17*$D1117,$E1117*Inputs!$B$6/Inputs!$B$20),2))</f>
        <v/>
      </c>
      <c r="I1117" s="25" t="str">
        <f>IF($E1117="","",0)</f>
        <v/>
      </c>
      <c r="J1117" s="25" t="str">
        <f>IF($E1117="","",IF($F1117+$G1117&gt;0,Inputs!$B$11,0))</f>
        <v/>
      </c>
      <c r="K1117" s="25" t="str">
        <f>IF($E1117="","",$E1117)</f>
        <v/>
      </c>
      <c r="L1117" s="25" t="str">
        <f>IF($E1117="","",0)</f>
        <v/>
      </c>
      <c r="M1117" s="25" t="str">
        <f>IF($E1117="","",$F1117+$G1117)</f>
        <v/>
      </c>
      <c r="N1117" s="84" t="str">
        <f>IF($E1117="","","HELD")</f>
        <v/>
      </c>
      <c r="O1117" s="23" t="str">
        <f t="shared" si="163"/>
        <v/>
      </c>
    </row>
    <row r="1118" spans="1:15" ht="20" customHeight="1">
      <c r="A1118" s="22" t="str">
        <f t="shared" si="160"/>
        <v/>
      </c>
      <c r="B1118" s="23" t="str">
        <f>IF($E1118="","",92)</f>
        <v/>
      </c>
      <c r="C1118" s="24" t="str">
        <f>IF($E1118="","",Inputs!$B$9+(91*Inputs!$B$21))</f>
        <v/>
      </c>
      <c r="D1118" s="23" t="str">
        <f t="shared" si="161"/>
        <v/>
      </c>
      <c r="E1118" s="25" t="str">
        <f t="shared" si="162"/>
        <v/>
      </c>
      <c r="F1118" s="25" t="str">
        <f>IF($E1118="","",ROUND(MIN(Comparison!$E$5,MAX(0,$E1118+$H1117+$H1118-$M1117)),2))</f>
        <v/>
      </c>
      <c r="G1118" s="25" t="str">
        <f>IF($E1118="","",ROUND(MIN(Inputs!$B$10,MAX(0,$E1118+$H1117+$H1118-$M1117-$F1118)),2))</f>
        <v/>
      </c>
      <c r="H1118" s="25" t="str">
        <f>IF($E1118="","",ROUND(IF(Inputs!$B$12="Daily Simple Interest",$E1118*Inputs!$B$6/Inputs!$B$17*$D1118,$E1118*Inputs!$B$6/Inputs!$B$20),2))</f>
        <v/>
      </c>
      <c r="I1118" s="25" t="str">
        <f>IF($E1118="","",ROUND($L1118-$H1117-$H1118,2))</f>
        <v/>
      </c>
      <c r="J1118" s="25" t="str">
        <f>IF($E1118="","",IF($F1118+$G1118&gt;0,Inputs!$B$11,0))</f>
        <v/>
      </c>
      <c r="K1118" s="25" t="str">
        <f>IF($E1118="","",ROUND(MAX(0,$E1118-$I1118),2))</f>
        <v/>
      </c>
      <c r="L1118" s="25" t="str">
        <f>IF($E1118="","",$M1117+$F1118+$G1118)</f>
        <v/>
      </c>
      <c r="M1118" s="25" t="str">
        <f>IF($E1118="","",0)</f>
        <v/>
      </c>
      <c r="N1118" s="84" t="str">
        <f>IF($E1118="","",IF($K1118&lt;=0.005,"PAID OFF","POSTED"))</f>
        <v/>
      </c>
      <c r="O1118" s="23" t="str">
        <f t="shared" si="163"/>
        <v/>
      </c>
    </row>
    <row r="1119" spans="1:15" ht="20" customHeight="1">
      <c r="A1119" s="22" t="str">
        <f t="shared" si="160"/>
        <v/>
      </c>
      <c r="B1119" s="23" t="str">
        <f>IF($E1119="","",93)</f>
        <v/>
      </c>
      <c r="C1119" s="24" t="str">
        <f>IF($E1119="","",Inputs!$B$9+(92*Inputs!$B$21))</f>
        <v/>
      </c>
      <c r="D1119" s="23" t="str">
        <f t="shared" si="161"/>
        <v/>
      </c>
      <c r="E1119" s="25" t="str">
        <f t="shared" si="162"/>
        <v/>
      </c>
      <c r="F1119" s="25" t="str">
        <f>IF($E1119="","",ROUND(MIN(Comparison!$E$5,MAX(0,$E1119+$H1119)),2))</f>
        <v/>
      </c>
      <c r="G1119" s="25" t="str">
        <f>IF($E1119="","",ROUND(MIN(Inputs!$B$10,MAX(0,$E1119+$H1119-$F1119)),2))</f>
        <v/>
      </c>
      <c r="H1119" s="25" t="str">
        <f>IF($E1119="","",ROUND(IF(Inputs!$B$12="Daily Simple Interest",$E1119*Inputs!$B$6/Inputs!$B$17*$D1119,$E1119*Inputs!$B$6/Inputs!$B$20),2))</f>
        <v/>
      </c>
      <c r="I1119" s="25" t="str">
        <f>IF($E1119="","",0)</f>
        <v/>
      </c>
      <c r="J1119" s="25" t="str">
        <f>IF($E1119="","",IF($F1119+$G1119&gt;0,Inputs!$B$11,0))</f>
        <v/>
      </c>
      <c r="K1119" s="25" t="str">
        <f>IF($E1119="","",$E1119)</f>
        <v/>
      </c>
      <c r="L1119" s="25" t="str">
        <f>IF($E1119="","",0)</f>
        <v/>
      </c>
      <c r="M1119" s="25" t="str">
        <f>IF($E1119="","",$F1119+$G1119)</f>
        <v/>
      </c>
      <c r="N1119" s="84" t="str">
        <f>IF($E1119="","","HELD")</f>
        <v/>
      </c>
      <c r="O1119" s="23" t="str">
        <f t="shared" si="163"/>
        <v/>
      </c>
    </row>
    <row r="1120" spans="1:15" ht="20" customHeight="1">
      <c r="A1120" s="22" t="str">
        <f t="shared" si="160"/>
        <v/>
      </c>
      <c r="B1120" s="23" t="str">
        <f>IF($E1120="","",94)</f>
        <v/>
      </c>
      <c r="C1120" s="24" t="str">
        <f>IF($E1120="","",Inputs!$B$9+(93*Inputs!$B$21))</f>
        <v/>
      </c>
      <c r="D1120" s="23" t="str">
        <f t="shared" si="161"/>
        <v/>
      </c>
      <c r="E1120" s="25" t="str">
        <f t="shared" si="162"/>
        <v/>
      </c>
      <c r="F1120" s="25" t="str">
        <f>IF($E1120="","",ROUND(MIN(Comparison!$E$5,MAX(0,$E1120+$H1119+$H1120-$M1119)),2))</f>
        <v/>
      </c>
      <c r="G1120" s="25" t="str">
        <f>IF($E1120="","",ROUND(MIN(Inputs!$B$10,MAX(0,$E1120+$H1119+$H1120-$M1119-$F1120)),2))</f>
        <v/>
      </c>
      <c r="H1120" s="25" t="str">
        <f>IF($E1120="","",ROUND(IF(Inputs!$B$12="Daily Simple Interest",$E1120*Inputs!$B$6/Inputs!$B$17*$D1120,$E1120*Inputs!$B$6/Inputs!$B$20),2))</f>
        <v/>
      </c>
      <c r="I1120" s="25" t="str">
        <f>IF($E1120="","",ROUND($L1120-$H1119-$H1120,2))</f>
        <v/>
      </c>
      <c r="J1120" s="25" t="str">
        <f>IF($E1120="","",IF($F1120+$G1120&gt;0,Inputs!$B$11,0))</f>
        <v/>
      </c>
      <c r="K1120" s="25" t="str">
        <f>IF($E1120="","",ROUND(MAX(0,$E1120-$I1120),2))</f>
        <v/>
      </c>
      <c r="L1120" s="25" t="str">
        <f>IF($E1120="","",$M1119+$F1120+$G1120)</f>
        <v/>
      </c>
      <c r="M1120" s="25" t="str">
        <f>IF($E1120="","",0)</f>
        <v/>
      </c>
      <c r="N1120" s="84" t="str">
        <f>IF($E1120="","",IF($K1120&lt;=0.005,"PAID OFF","POSTED"))</f>
        <v/>
      </c>
      <c r="O1120" s="23" t="str">
        <f t="shared" si="163"/>
        <v/>
      </c>
    </row>
    <row r="1121" spans="1:15" ht="20" customHeight="1">
      <c r="A1121" s="22" t="str">
        <f t="shared" si="160"/>
        <v/>
      </c>
      <c r="B1121" s="23" t="str">
        <f>IF($E1121="","",95)</f>
        <v/>
      </c>
      <c r="C1121" s="24" t="str">
        <f>IF($E1121="","",Inputs!$B$9+(94*Inputs!$B$21))</f>
        <v/>
      </c>
      <c r="D1121" s="23" t="str">
        <f t="shared" si="161"/>
        <v/>
      </c>
      <c r="E1121" s="25" t="str">
        <f t="shared" si="162"/>
        <v/>
      </c>
      <c r="F1121" s="25" t="str">
        <f>IF($E1121="","",ROUND(MIN(Comparison!$E$5,MAX(0,$E1121+$H1121)),2))</f>
        <v/>
      </c>
      <c r="G1121" s="25" t="str">
        <f>IF($E1121="","",ROUND(MIN(Inputs!$B$10,MAX(0,$E1121+$H1121-$F1121)),2))</f>
        <v/>
      </c>
      <c r="H1121" s="25" t="str">
        <f>IF($E1121="","",ROUND(IF(Inputs!$B$12="Daily Simple Interest",$E1121*Inputs!$B$6/Inputs!$B$17*$D1121,$E1121*Inputs!$B$6/Inputs!$B$20),2))</f>
        <v/>
      </c>
      <c r="I1121" s="25" t="str">
        <f>IF($E1121="","",0)</f>
        <v/>
      </c>
      <c r="J1121" s="25" t="str">
        <f>IF($E1121="","",IF($F1121+$G1121&gt;0,Inputs!$B$11,0))</f>
        <v/>
      </c>
      <c r="K1121" s="25" t="str">
        <f>IF($E1121="","",$E1121)</f>
        <v/>
      </c>
      <c r="L1121" s="25" t="str">
        <f>IF($E1121="","",0)</f>
        <v/>
      </c>
      <c r="M1121" s="25" t="str">
        <f>IF($E1121="","",$F1121+$G1121)</f>
        <v/>
      </c>
      <c r="N1121" s="84" t="str">
        <f>IF($E1121="","","HELD")</f>
        <v/>
      </c>
      <c r="O1121" s="23" t="str">
        <f t="shared" si="163"/>
        <v/>
      </c>
    </row>
    <row r="1122" spans="1:15" ht="20" customHeight="1">
      <c r="A1122" s="22" t="str">
        <f t="shared" si="160"/>
        <v/>
      </c>
      <c r="B1122" s="23" t="str">
        <f>IF($E1122="","",96)</f>
        <v/>
      </c>
      <c r="C1122" s="24" t="str">
        <f>IF($E1122="","",Inputs!$B$9+(95*Inputs!$B$21))</f>
        <v/>
      </c>
      <c r="D1122" s="23" t="str">
        <f t="shared" si="161"/>
        <v/>
      </c>
      <c r="E1122" s="25" t="str">
        <f t="shared" si="162"/>
        <v/>
      </c>
      <c r="F1122" s="25" t="str">
        <f>IF($E1122="","",ROUND(MIN(Comparison!$E$5,MAX(0,$E1122+$H1121+$H1122-$M1121)),2))</f>
        <v/>
      </c>
      <c r="G1122" s="25" t="str">
        <f>IF($E1122="","",ROUND(MIN(Inputs!$B$10,MAX(0,$E1122+$H1121+$H1122-$M1121-$F1122)),2))</f>
        <v/>
      </c>
      <c r="H1122" s="25" t="str">
        <f>IF($E1122="","",ROUND(IF(Inputs!$B$12="Daily Simple Interest",$E1122*Inputs!$B$6/Inputs!$B$17*$D1122,$E1122*Inputs!$B$6/Inputs!$B$20),2))</f>
        <v/>
      </c>
      <c r="I1122" s="25" t="str">
        <f>IF($E1122="","",ROUND($L1122-$H1121-$H1122,2))</f>
        <v/>
      </c>
      <c r="J1122" s="25" t="str">
        <f>IF($E1122="","",IF($F1122+$G1122&gt;0,Inputs!$B$11,0))</f>
        <v/>
      </c>
      <c r="K1122" s="25" t="str">
        <f>IF($E1122="","",ROUND(MAX(0,$E1122-$I1122),2))</f>
        <v/>
      </c>
      <c r="L1122" s="25" t="str">
        <f>IF($E1122="","",$M1121+$F1122+$G1122)</f>
        <v/>
      </c>
      <c r="M1122" s="25" t="str">
        <f>IF($E1122="","",0)</f>
        <v/>
      </c>
      <c r="N1122" s="84" t="str">
        <f>IF($E1122="","",IF($K1122&lt;=0.005,"PAID OFF","POSTED"))</f>
        <v/>
      </c>
      <c r="O1122" s="23" t="str">
        <f t="shared" si="163"/>
        <v/>
      </c>
    </row>
    <row r="1123" spans="1:15" ht="20" customHeight="1">
      <c r="A1123" s="22" t="str">
        <f t="shared" si="160"/>
        <v/>
      </c>
      <c r="B1123" s="23" t="str">
        <f>IF($E1123="","",97)</f>
        <v/>
      </c>
      <c r="C1123" s="24" t="str">
        <f>IF($E1123="","",Inputs!$B$9+(96*Inputs!$B$21))</f>
        <v/>
      </c>
      <c r="D1123" s="23" t="str">
        <f t="shared" si="161"/>
        <v/>
      </c>
      <c r="E1123" s="25" t="str">
        <f t="shared" si="162"/>
        <v/>
      </c>
      <c r="F1123" s="25" t="str">
        <f>IF($E1123="","",ROUND(MIN(Comparison!$E$5,MAX(0,$E1123+$H1123)),2))</f>
        <v/>
      </c>
      <c r="G1123" s="25" t="str">
        <f>IF($E1123="","",ROUND(MIN(Inputs!$B$10,MAX(0,$E1123+$H1123-$F1123)),2))</f>
        <v/>
      </c>
      <c r="H1123" s="25" t="str">
        <f>IF($E1123="","",ROUND(IF(Inputs!$B$12="Daily Simple Interest",$E1123*Inputs!$B$6/Inputs!$B$17*$D1123,$E1123*Inputs!$B$6/Inputs!$B$20),2))</f>
        <v/>
      </c>
      <c r="I1123" s="25" t="str">
        <f>IF($E1123="","",0)</f>
        <v/>
      </c>
      <c r="J1123" s="25" t="str">
        <f>IF($E1123="","",IF($F1123+$G1123&gt;0,Inputs!$B$11,0))</f>
        <v/>
      </c>
      <c r="K1123" s="25" t="str">
        <f>IF($E1123="","",$E1123)</f>
        <v/>
      </c>
      <c r="L1123" s="25" t="str">
        <f>IF($E1123="","",0)</f>
        <v/>
      </c>
      <c r="M1123" s="25" t="str">
        <f>IF($E1123="","",$F1123+$G1123)</f>
        <v/>
      </c>
      <c r="N1123" s="84" t="str">
        <f>IF($E1123="","","HELD")</f>
        <v/>
      </c>
      <c r="O1123" s="23" t="str">
        <f t="shared" si="163"/>
        <v/>
      </c>
    </row>
    <row r="1124" spans="1:15" ht="20" customHeight="1">
      <c r="A1124" s="22" t="str">
        <f t="shared" si="160"/>
        <v/>
      </c>
      <c r="B1124" s="23" t="str">
        <f>IF($E1124="","",98)</f>
        <v/>
      </c>
      <c r="C1124" s="24" t="str">
        <f>IF($E1124="","",Inputs!$B$9+(97*Inputs!$B$21))</f>
        <v/>
      </c>
      <c r="D1124" s="23" t="str">
        <f t="shared" si="161"/>
        <v/>
      </c>
      <c r="E1124" s="25" t="str">
        <f t="shared" si="162"/>
        <v/>
      </c>
      <c r="F1124" s="25" t="str">
        <f>IF($E1124="","",ROUND(MIN(Comparison!$E$5,MAX(0,$E1124+$H1123+$H1124-$M1123)),2))</f>
        <v/>
      </c>
      <c r="G1124" s="25" t="str">
        <f>IF($E1124="","",ROUND(MIN(Inputs!$B$10,MAX(0,$E1124+$H1123+$H1124-$M1123-$F1124)),2))</f>
        <v/>
      </c>
      <c r="H1124" s="25" t="str">
        <f>IF($E1124="","",ROUND(IF(Inputs!$B$12="Daily Simple Interest",$E1124*Inputs!$B$6/Inputs!$B$17*$D1124,$E1124*Inputs!$B$6/Inputs!$B$20),2))</f>
        <v/>
      </c>
      <c r="I1124" s="25" t="str">
        <f>IF($E1124="","",ROUND($L1124-$H1123-$H1124,2))</f>
        <v/>
      </c>
      <c r="J1124" s="25" t="str">
        <f>IF($E1124="","",IF($F1124+$G1124&gt;0,Inputs!$B$11,0))</f>
        <v/>
      </c>
      <c r="K1124" s="25" t="str">
        <f>IF($E1124="","",ROUND(MAX(0,$E1124-$I1124),2))</f>
        <v/>
      </c>
      <c r="L1124" s="25" t="str">
        <f>IF($E1124="","",$M1123+$F1124+$G1124)</f>
        <v/>
      </c>
      <c r="M1124" s="25" t="str">
        <f>IF($E1124="","",0)</f>
        <v/>
      </c>
      <c r="N1124" s="84" t="str">
        <f>IF($E1124="","",IF($K1124&lt;=0.005,"PAID OFF","POSTED"))</f>
        <v/>
      </c>
      <c r="O1124" s="23" t="str">
        <f t="shared" si="163"/>
        <v/>
      </c>
    </row>
    <row r="1125" spans="1:15" ht="20" customHeight="1">
      <c r="A1125" s="22" t="str">
        <f t="shared" si="160"/>
        <v/>
      </c>
      <c r="B1125" s="23" t="str">
        <f>IF($E1125="","",99)</f>
        <v/>
      </c>
      <c r="C1125" s="24" t="str">
        <f>IF($E1125="","",Inputs!$B$9+(98*Inputs!$B$21))</f>
        <v/>
      </c>
      <c r="D1125" s="23" t="str">
        <f t="shared" si="161"/>
        <v/>
      </c>
      <c r="E1125" s="25" t="str">
        <f t="shared" si="162"/>
        <v/>
      </c>
      <c r="F1125" s="25" t="str">
        <f>IF($E1125="","",ROUND(MIN(Comparison!$E$5,MAX(0,$E1125+$H1125)),2))</f>
        <v/>
      </c>
      <c r="G1125" s="25" t="str">
        <f>IF($E1125="","",ROUND(MIN(Inputs!$B$10,MAX(0,$E1125+$H1125-$F1125)),2))</f>
        <v/>
      </c>
      <c r="H1125" s="25" t="str">
        <f>IF($E1125="","",ROUND(IF(Inputs!$B$12="Daily Simple Interest",$E1125*Inputs!$B$6/Inputs!$B$17*$D1125,$E1125*Inputs!$B$6/Inputs!$B$20),2))</f>
        <v/>
      </c>
      <c r="I1125" s="25" t="str">
        <f>IF($E1125="","",0)</f>
        <v/>
      </c>
      <c r="J1125" s="25" t="str">
        <f>IF($E1125="","",IF($F1125+$G1125&gt;0,Inputs!$B$11,0))</f>
        <v/>
      </c>
      <c r="K1125" s="25" t="str">
        <f>IF($E1125="","",$E1125)</f>
        <v/>
      </c>
      <c r="L1125" s="25" t="str">
        <f>IF($E1125="","",0)</f>
        <v/>
      </c>
      <c r="M1125" s="25" t="str">
        <f>IF($E1125="","",$F1125+$G1125)</f>
        <v/>
      </c>
      <c r="N1125" s="84" t="str">
        <f>IF($E1125="","","HELD")</f>
        <v/>
      </c>
      <c r="O1125" s="23" t="str">
        <f t="shared" si="163"/>
        <v/>
      </c>
    </row>
    <row r="1126" spans="1:15" ht="20" customHeight="1">
      <c r="A1126" s="22" t="str">
        <f t="shared" si="160"/>
        <v/>
      </c>
      <c r="B1126" s="23" t="str">
        <f>IF($E1126="","",100)</f>
        <v/>
      </c>
      <c r="C1126" s="24" t="str">
        <f>IF($E1126="","",Inputs!$B$9+(99*Inputs!$B$21))</f>
        <v/>
      </c>
      <c r="D1126" s="23" t="str">
        <f t="shared" si="161"/>
        <v/>
      </c>
      <c r="E1126" s="25" t="str">
        <f t="shared" si="162"/>
        <v/>
      </c>
      <c r="F1126" s="25" t="str">
        <f>IF($E1126="","",ROUND(MIN(Comparison!$E$5,MAX(0,$E1126+$H1125+$H1126-$M1125)),2))</f>
        <v/>
      </c>
      <c r="G1126" s="25" t="str">
        <f>IF($E1126="","",ROUND(MIN(Inputs!$B$10,MAX(0,$E1126+$H1125+$H1126-$M1125-$F1126)),2))</f>
        <v/>
      </c>
      <c r="H1126" s="25" t="str">
        <f>IF($E1126="","",ROUND(IF(Inputs!$B$12="Daily Simple Interest",$E1126*Inputs!$B$6/Inputs!$B$17*$D1126,$E1126*Inputs!$B$6/Inputs!$B$20),2))</f>
        <v/>
      </c>
      <c r="I1126" s="25" t="str">
        <f>IF($E1126="","",ROUND($L1126-$H1125-$H1126,2))</f>
        <v/>
      </c>
      <c r="J1126" s="25" t="str">
        <f>IF($E1126="","",IF($F1126+$G1126&gt;0,Inputs!$B$11,0))</f>
        <v/>
      </c>
      <c r="K1126" s="25" t="str">
        <f>IF($E1126="","",ROUND(MAX(0,$E1126-$I1126),2))</f>
        <v/>
      </c>
      <c r="L1126" s="25" t="str">
        <f>IF($E1126="","",$M1125+$F1126+$G1126)</f>
        <v/>
      </c>
      <c r="M1126" s="25" t="str">
        <f>IF($E1126="","",0)</f>
        <v/>
      </c>
      <c r="N1126" s="84" t="str">
        <f>IF($E1126="","",IF($K1126&lt;=0.005,"PAID OFF","POSTED"))</f>
        <v/>
      </c>
      <c r="O1126" s="23" t="str">
        <f t="shared" si="163"/>
        <v/>
      </c>
    </row>
    <row r="1127" spans="1:15" ht="20" customHeight="1">
      <c r="A1127" s="22" t="str">
        <f t="shared" si="160"/>
        <v/>
      </c>
      <c r="B1127" s="23" t="str">
        <f>IF($E1127="","",101)</f>
        <v/>
      </c>
      <c r="C1127" s="24" t="str">
        <f>IF($E1127="","",Inputs!$B$9+(100*Inputs!$B$21))</f>
        <v/>
      </c>
      <c r="D1127" s="23" t="str">
        <f t="shared" si="161"/>
        <v/>
      </c>
      <c r="E1127" s="25" t="str">
        <f t="shared" si="162"/>
        <v/>
      </c>
      <c r="F1127" s="25" t="str">
        <f>IF($E1127="","",ROUND(MIN(Comparison!$E$5,MAX(0,$E1127+$H1127)),2))</f>
        <v/>
      </c>
      <c r="G1127" s="25" t="str">
        <f>IF($E1127="","",ROUND(MIN(Inputs!$B$10,MAX(0,$E1127+$H1127-$F1127)),2))</f>
        <v/>
      </c>
      <c r="H1127" s="25" t="str">
        <f>IF($E1127="","",ROUND(IF(Inputs!$B$12="Daily Simple Interest",$E1127*Inputs!$B$6/Inputs!$B$17*$D1127,$E1127*Inputs!$B$6/Inputs!$B$20),2))</f>
        <v/>
      </c>
      <c r="I1127" s="25" t="str">
        <f>IF($E1127="","",0)</f>
        <v/>
      </c>
      <c r="J1127" s="25" t="str">
        <f>IF($E1127="","",IF($F1127+$G1127&gt;0,Inputs!$B$11,0))</f>
        <v/>
      </c>
      <c r="K1127" s="25" t="str">
        <f>IF($E1127="","",$E1127)</f>
        <v/>
      </c>
      <c r="L1127" s="25" t="str">
        <f>IF($E1127="","",0)</f>
        <v/>
      </c>
      <c r="M1127" s="25" t="str">
        <f>IF($E1127="","",$F1127+$G1127)</f>
        <v/>
      </c>
      <c r="N1127" s="84" t="str">
        <f>IF($E1127="","","HELD")</f>
        <v/>
      </c>
      <c r="O1127" s="23" t="str">
        <f t="shared" si="163"/>
        <v/>
      </c>
    </row>
    <row r="1128" spans="1:15" ht="20" customHeight="1">
      <c r="A1128" s="22" t="str">
        <f t="shared" si="160"/>
        <v/>
      </c>
      <c r="B1128" s="23" t="str">
        <f>IF($E1128="","",102)</f>
        <v/>
      </c>
      <c r="C1128" s="24" t="str">
        <f>IF($E1128="","",Inputs!$B$9+(101*Inputs!$B$21))</f>
        <v/>
      </c>
      <c r="D1128" s="23" t="str">
        <f t="shared" si="161"/>
        <v/>
      </c>
      <c r="E1128" s="25" t="str">
        <f t="shared" si="162"/>
        <v/>
      </c>
      <c r="F1128" s="25" t="str">
        <f>IF($E1128="","",ROUND(MIN(Comparison!$E$5,MAX(0,$E1128+$H1127+$H1128-$M1127)),2))</f>
        <v/>
      </c>
      <c r="G1128" s="25" t="str">
        <f>IF($E1128="","",ROUND(MIN(Inputs!$B$10,MAX(0,$E1128+$H1127+$H1128-$M1127-$F1128)),2))</f>
        <v/>
      </c>
      <c r="H1128" s="25" t="str">
        <f>IF($E1128="","",ROUND(IF(Inputs!$B$12="Daily Simple Interest",$E1128*Inputs!$B$6/Inputs!$B$17*$D1128,$E1128*Inputs!$B$6/Inputs!$B$20),2))</f>
        <v/>
      </c>
      <c r="I1128" s="25" t="str">
        <f>IF($E1128="","",ROUND($L1128-$H1127-$H1128,2))</f>
        <v/>
      </c>
      <c r="J1128" s="25" t="str">
        <f>IF($E1128="","",IF($F1128+$G1128&gt;0,Inputs!$B$11,0))</f>
        <v/>
      </c>
      <c r="K1128" s="25" t="str">
        <f>IF($E1128="","",ROUND(MAX(0,$E1128-$I1128),2))</f>
        <v/>
      </c>
      <c r="L1128" s="25" t="str">
        <f>IF($E1128="","",$M1127+$F1128+$G1128)</f>
        <v/>
      </c>
      <c r="M1128" s="25" t="str">
        <f>IF($E1128="","",0)</f>
        <v/>
      </c>
      <c r="N1128" s="84" t="str">
        <f>IF($E1128="","",IF($K1128&lt;=0.005,"PAID OFF","POSTED"))</f>
        <v/>
      </c>
      <c r="O1128" s="23" t="str">
        <f t="shared" si="163"/>
        <v/>
      </c>
    </row>
    <row r="1129" spans="1:15" ht="20" customHeight="1">
      <c r="A1129" s="22" t="str">
        <f t="shared" si="160"/>
        <v/>
      </c>
      <c r="B1129" s="23" t="str">
        <f>IF($E1129="","",103)</f>
        <v/>
      </c>
      <c r="C1129" s="24" t="str">
        <f>IF($E1129="","",Inputs!$B$9+(102*Inputs!$B$21))</f>
        <v/>
      </c>
      <c r="D1129" s="23" t="str">
        <f t="shared" si="161"/>
        <v/>
      </c>
      <c r="E1129" s="25" t="str">
        <f t="shared" si="162"/>
        <v/>
      </c>
      <c r="F1129" s="25" t="str">
        <f>IF($E1129="","",ROUND(MIN(Comparison!$E$5,MAX(0,$E1129+$H1129)),2))</f>
        <v/>
      </c>
      <c r="G1129" s="25" t="str">
        <f>IF($E1129="","",ROUND(MIN(Inputs!$B$10,MAX(0,$E1129+$H1129-$F1129)),2))</f>
        <v/>
      </c>
      <c r="H1129" s="25" t="str">
        <f>IF($E1129="","",ROUND(IF(Inputs!$B$12="Daily Simple Interest",$E1129*Inputs!$B$6/Inputs!$B$17*$D1129,$E1129*Inputs!$B$6/Inputs!$B$20),2))</f>
        <v/>
      </c>
      <c r="I1129" s="25" t="str">
        <f>IF($E1129="","",0)</f>
        <v/>
      </c>
      <c r="J1129" s="25" t="str">
        <f>IF($E1129="","",IF($F1129+$G1129&gt;0,Inputs!$B$11,0))</f>
        <v/>
      </c>
      <c r="K1129" s="25" t="str">
        <f>IF($E1129="","",$E1129)</f>
        <v/>
      </c>
      <c r="L1129" s="25" t="str">
        <f>IF($E1129="","",0)</f>
        <v/>
      </c>
      <c r="M1129" s="25" t="str">
        <f>IF($E1129="","",$F1129+$G1129)</f>
        <v/>
      </c>
      <c r="N1129" s="84" t="str">
        <f>IF($E1129="","","HELD")</f>
        <v/>
      </c>
      <c r="O1129" s="23" t="str">
        <f t="shared" si="163"/>
        <v/>
      </c>
    </row>
    <row r="1130" spans="1:15" ht="20" customHeight="1">
      <c r="A1130" s="22" t="str">
        <f t="shared" si="160"/>
        <v/>
      </c>
      <c r="B1130" s="23" t="str">
        <f>IF($E1130="","",104)</f>
        <v/>
      </c>
      <c r="C1130" s="24" t="str">
        <f>IF($E1130="","",Inputs!$B$9+(103*Inputs!$B$21))</f>
        <v/>
      </c>
      <c r="D1130" s="23" t="str">
        <f t="shared" si="161"/>
        <v/>
      </c>
      <c r="E1130" s="25" t="str">
        <f t="shared" si="162"/>
        <v/>
      </c>
      <c r="F1130" s="25" t="str">
        <f>IF($E1130="","",ROUND(MIN(Comparison!$E$5,MAX(0,$E1130+$H1129+$H1130-$M1129)),2))</f>
        <v/>
      </c>
      <c r="G1130" s="25" t="str">
        <f>IF($E1130="","",ROUND(MIN(Inputs!$B$10,MAX(0,$E1130+$H1129+$H1130-$M1129-$F1130)),2))</f>
        <v/>
      </c>
      <c r="H1130" s="25" t="str">
        <f>IF($E1130="","",ROUND(IF(Inputs!$B$12="Daily Simple Interest",$E1130*Inputs!$B$6/Inputs!$B$17*$D1130,$E1130*Inputs!$B$6/Inputs!$B$20),2))</f>
        <v/>
      </c>
      <c r="I1130" s="25" t="str">
        <f>IF($E1130="","",ROUND($L1130-$H1129-$H1130,2))</f>
        <v/>
      </c>
      <c r="J1130" s="25" t="str">
        <f>IF($E1130="","",IF($F1130+$G1130&gt;0,Inputs!$B$11,0))</f>
        <v/>
      </c>
      <c r="K1130" s="25" t="str">
        <f>IF($E1130="","",ROUND(MAX(0,$E1130-$I1130),2))</f>
        <v/>
      </c>
      <c r="L1130" s="25" t="str">
        <f>IF($E1130="","",$M1129+$F1130+$G1130)</f>
        <v/>
      </c>
      <c r="M1130" s="25" t="str">
        <f>IF($E1130="","",0)</f>
        <v/>
      </c>
      <c r="N1130" s="84" t="str">
        <f>IF($E1130="","",IF($K1130&lt;=0.005,"PAID OFF","POSTED"))</f>
        <v/>
      </c>
      <c r="O1130" s="23" t="str">
        <f t="shared" si="163"/>
        <v/>
      </c>
    </row>
    <row r="1131" spans="1:15" ht="20" customHeight="1">
      <c r="A1131" s="22" t="str">
        <f t="shared" si="160"/>
        <v/>
      </c>
      <c r="B1131" s="23" t="str">
        <f>IF($E1131="","",105)</f>
        <v/>
      </c>
      <c r="C1131" s="24" t="str">
        <f>IF($E1131="","",Inputs!$B$9+(104*Inputs!$B$21))</f>
        <v/>
      </c>
      <c r="D1131" s="23" t="str">
        <f t="shared" si="161"/>
        <v/>
      </c>
      <c r="E1131" s="25" t="str">
        <f t="shared" si="162"/>
        <v/>
      </c>
      <c r="F1131" s="25" t="str">
        <f>IF($E1131="","",ROUND(MIN(Comparison!$E$5,MAX(0,$E1131+$H1131)),2))</f>
        <v/>
      </c>
      <c r="G1131" s="25" t="str">
        <f>IF($E1131="","",ROUND(MIN(Inputs!$B$10,MAX(0,$E1131+$H1131-$F1131)),2))</f>
        <v/>
      </c>
      <c r="H1131" s="25" t="str">
        <f>IF($E1131="","",ROUND(IF(Inputs!$B$12="Daily Simple Interest",$E1131*Inputs!$B$6/Inputs!$B$17*$D1131,$E1131*Inputs!$B$6/Inputs!$B$20),2))</f>
        <v/>
      </c>
      <c r="I1131" s="25" t="str">
        <f>IF($E1131="","",0)</f>
        <v/>
      </c>
      <c r="J1131" s="25" t="str">
        <f>IF($E1131="","",IF($F1131+$G1131&gt;0,Inputs!$B$11,0))</f>
        <v/>
      </c>
      <c r="K1131" s="25" t="str">
        <f>IF($E1131="","",$E1131)</f>
        <v/>
      </c>
      <c r="L1131" s="25" t="str">
        <f>IF($E1131="","",0)</f>
        <v/>
      </c>
      <c r="M1131" s="25" t="str">
        <f>IF($E1131="","",$F1131+$G1131)</f>
        <v/>
      </c>
      <c r="N1131" s="84" t="str">
        <f>IF($E1131="","","HELD")</f>
        <v/>
      </c>
      <c r="O1131" s="23" t="str">
        <f t="shared" si="163"/>
        <v/>
      </c>
    </row>
    <row r="1132" spans="1:15" ht="20" customHeight="1">
      <c r="A1132" s="22" t="str">
        <f t="shared" si="160"/>
        <v/>
      </c>
      <c r="B1132" s="23" t="str">
        <f>IF($E1132="","",106)</f>
        <v/>
      </c>
      <c r="C1132" s="24" t="str">
        <f>IF($E1132="","",Inputs!$B$9+(105*Inputs!$B$21))</f>
        <v/>
      </c>
      <c r="D1132" s="23" t="str">
        <f t="shared" si="161"/>
        <v/>
      </c>
      <c r="E1132" s="25" t="str">
        <f t="shared" si="162"/>
        <v/>
      </c>
      <c r="F1132" s="25" t="str">
        <f>IF($E1132="","",ROUND(MIN(Comparison!$E$5,MAX(0,$E1132+$H1131+$H1132-$M1131)),2))</f>
        <v/>
      </c>
      <c r="G1132" s="25" t="str">
        <f>IF($E1132="","",ROUND(MIN(Inputs!$B$10,MAX(0,$E1132+$H1131+$H1132-$M1131-$F1132)),2))</f>
        <v/>
      </c>
      <c r="H1132" s="25" t="str">
        <f>IF($E1132="","",ROUND(IF(Inputs!$B$12="Daily Simple Interest",$E1132*Inputs!$B$6/Inputs!$B$17*$D1132,$E1132*Inputs!$B$6/Inputs!$B$20),2))</f>
        <v/>
      </c>
      <c r="I1132" s="25" t="str">
        <f>IF($E1132="","",ROUND($L1132-$H1131-$H1132,2))</f>
        <v/>
      </c>
      <c r="J1132" s="25" t="str">
        <f>IF($E1132="","",IF($F1132+$G1132&gt;0,Inputs!$B$11,0))</f>
        <v/>
      </c>
      <c r="K1132" s="25" t="str">
        <f>IF($E1132="","",ROUND(MAX(0,$E1132-$I1132),2))</f>
        <v/>
      </c>
      <c r="L1132" s="25" t="str">
        <f>IF($E1132="","",$M1131+$F1132+$G1132)</f>
        <v/>
      </c>
      <c r="M1132" s="25" t="str">
        <f>IF($E1132="","",0)</f>
        <v/>
      </c>
      <c r="N1132" s="84" t="str">
        <f>IF($E1132="","",IF($K1132&lt;=0.005,"PAID OFF","POSTED"))</f>
        <v/>
      </c>
      <c r="O1132" s="23" t="str">
        <f t="shared" si="163"/>
        <v/>
      </c>
    </row>
    <row r="1133" spans="1:15" ht="20" customHeight="1">
      <c r="A1133" s="22" t="str">
        <f t="shared" si="160"/>
        <v/>
      </c>
      <c r="B1133" s="23" t="str">
        <f>IF($E1133="","",107)</f>
        <v/>
      </c>
      <c r="C1133" s="24" t="str">
        <f>IF($E1133="","",Inputs!$B$9+(106*Inputs!$B$21))</f>
        <v/>
      </c>
      <c r="D1133" s="23" t="str">
        <f t="shared" si="161"/>
        <v/>
      </c>
      <c r="E1133" s="25" t="str">
        <f t="shared" si="162"/>
        <v/>
      </c>
      <c r="F1133" s="25" t="str">
        <f>IF($E1133="","",ROUND(MIN(Comparison!$E$5,MAX(0,$E1133+$H1133)),2))</f>
        <v/>
      </c>
      <c r="G1133" s="25" t="str">
        <f>IF($E1133="","",ROUND(MIN(Inputs!$B$10,MAX(0,$E1133+$H1133-$F1133)),2))</f>
        <v/>
      </c>
      <c r="H1133" s="25" t="str">
        <f>IF($E1133="","",ROUND(IF(Inputs!$B$12="Daily Simple Interest",$E1133*Inputs!$B$6/Inputs!$B$17*$D1133,$E1133*Inputs!$B$6/Inputs!$B$20),2))</f>
        <v/>
      </c>
      <c r="I1133" s="25" t="str">
        <f>IF($E1133="","",0)</f>
        <v/>
      </c>
      <c r="J1133" s="25" t="str">
        <f>IF($E1133="","",IF($F1133+$G1133&gt;0,Inputs!$B$11,0))</f>
        <v/>
      </c>
      <c r="K1133" s="25" t="str">
        <f>IF($E1133="","",$E1133)</f>
        <v/>
      </c>
      <c r="L1133" s="25" t="str">
        <f>IF($E1133="","",0)</f>
        <v/>
      </c>
      <c r="M1133" s="25" t="str">
        <f>IF($E1133="","",$F1133+$G1133)</f>
        <v/>
      </c>
      <c r="N1133" s="84" t="str">
        <f>IF($E1133="","","HELD")</f>
        <v/>
      </c>
      <c r="O1133" s="23" t="str">
        <f t="shared" si="163"/>
        <v/>
      </c>
    </row>
    <row r="1134" spans="1:15" ht="20" customHeight="1">
      <c r="A1134" s="22" t="str">
        <f t="shared" si="160"/>
        <v/>
      </c>
      <c r="B1134" s="23" t="str">
        <f>IF($E1134="","",108)</f>
        <v/>
      </c>
      <c r="C1134" s="24" t="str">
        <f>IF($E1134="","",Inputs!$B$9+(107*Inputs!$B$21))</f>
        <v/>
      </c>
      <c r="D1134" s="23" t="str">
        <f t="shared" si="161"/>
        <v/>
      </c>
      <c r="E1134" s="25" t="str">
        <f t="shared" si="162"/>
        <v/>
      </c>
      <c r="F1134" s="25" t="str">
        <f>IF($E1134="","",ROUND(MIN(Comparison!$E$5,MAX(0,$E1134+$H1133+$H1134-$M1133)),2))</f>
        <v/>
      </c>
      <c r="G1134" s="25" t="str">
        <f>IF($E1134="","",ROUND(MIN(Inputs!$B$10,MAX(0,$E1134+$H1133+$H1134-$M1133-$F1134)),2))</f>
        <v/>
      </c>
      <c r="H1134" s="25" t="str">
        <f>IF($E1134="","",ROUND(IF(Inputs!$B$12="Daily Simple Interest",$E1134*Inputs!$B$6/Inputs!$B$17*$D1134,$E1134*Inputs!$B$6/Inputs!$B$20),2))</f>
        <v/>
      </c>
      <c r="I1134" s="25" t="str">
        <f>IF($E1134="","",ROUND($L1134-$H1133-$H1134,2))</f>
        <v/>
      </c>
      <c r="J1134" s="25" t="str">
        <f>IF($E1134="","",IF($F1134+$G1134&gt;0,Inputs!$B$11,0))</f>
        <v/>
      </c>
      <c r="K1134" s="25" t="str">
        <f>IF($E1134="","",ROUND(MAX(0,$E1134-$I1134),2))</f>
        <v/>
      </c>
      <c r="L1134" s="25" t="str">
        <f>IF($E1134="","",$M1133+$F1134+$G1134)</f>
        <v/>
      </c>
      <c r="M1134" s="25" t="str">
        <f>IF($E1134="","",0)</f>
        <v/>
      </c>
      <c r="N1134" s="84" t="str">
        <f>IF($E1134="","",IF($K1134&lt;=0.005,"PAID OFF","POSTED"))</f>
        <v/>
      </c>
      <c r="O1134" s="23" t="str">
        <f t="shared" si="163"/>
        <v/>
      </c>
    </row>
    <row r="1135" spans="1:15" ht="20" customHeight="1">
      <c r="A1135" s="22" t="str">
        <f t="shared" si="160"/>
        <v/>
      </c>
      <c r="B1135" s="23" t="str">
        <f>IF($E1135="","",109)</f>
        <v/>
      </c>
      <c r="C1135" s="24" t="str">
        <f>IF($E1135="","",Inputs!$B$9+(108*Inputs!$B$21))</f>
        <v/>
      </c>
      <c r="D1135" s="23" t="str">
        <f t="shared" si="161"/>
        <v/>
      </c>
      <c r="E1135" s="25" t="str">
        <f t="shared" si="162"/>
        <v/>
      </c>
      <c r="F1135" s="25" t="str">
        <f>IF($E1135="","",ROUND(MIN(Comparison!$E$5,MAX(0,$E1135+$H1135)),2))</f>
        <v/>
      </c>
      <c r="G1135" s="25" t="str">
        <f>IF($E1135="","",ROUND(MIN(Inputs!$B$10,MAX(0,$E1135+$H1135-$F1135)),2))</f>
        <v/>
      </c>
      <c r="H1135" s="25" t="str">
        <f>IF($E1135="","",ROUND(IF(Inputs!$B$12="Daily Simple Interest",$E1135*Inputs!$B$6/Inputs!$B$17*$D1135,$E1135*Inputs!$B$6/Inputs!$B$20),2))</f>
        <v/>
      </c>
      <c r="I1135" s="25" t="str">
        <f>IF($E1135="","",0)</f>
        <v/>
      </c>
      <c r="J1135" s="25" t="str">
        <f>IF($E1135="","",IF($F1135+$G1135&gt;0,Inputs!$B$11,0))</f>
        <v/>
      </c>
      <c r="K1135" s="25" t="str">
        <f>IF($E1135="","",$E1135)</f>
        <v/>
      </c>
      <c r="L1135" s="25" t="str">
        <f>IF($E1135="","",0)</f>
        <v/>
      </c>
      <c r="M1135" s="25" t="str">
        <f>IF($E1135="","",$F1135+$G1135)</f>
        <v/>
      </c>
      <c r="N1135" s="84" t="str">
        <f>IF($E1135="","","HELD")</f>
        <v/>
      </c>
      <c r="O1135" s="23" t="str">
        <f t="shared" si="163"/>
        <v/>
      </c>
    </row>
    <row r="1136" spans="1:15" ht="20" customHeight="1">
      <c r="A1136" s="22" t="str">
        <f t="shared" si="160"/>
        <v/>
      </c>
      <c r="B1136" s="23" t="str">
        <f>IF($E1136="","",110)</f>
        <v/>
      </c>
      <c r="C1136" s="24" t="str">
        <f>IF($E1136="","",Inputs!$B$9+(109*Inputs!$B$21))</f>
        <v/>
      </c>
      <c r="D1136" s="23" t="str">
        <f t="shared" si="161"/>
        <v/>
      </c>
      <c r="E1136" s="25" t="str">
        <f t="shared" si="162"/>
        <v/>
      </c>
      <c r="F1136" s="25" t="str">
        <f>IF($E1136="","",ROUND(MIN(Comparison!$E$5,MAX(0,$E1136+$H1135+$H1136-$M1135)),2))</f>
        <v/>
      </c>
      <c r="G1136" s="25" t="str">
        <f>IF($E1136="","",ROUND(MIN(Inputs!$B$10,MAX(0,$E1136+$H1135+$H1136-$M1135-$F1136)),2))</f>
        <v/>
      </c>
      <c r="H1136" s="25" t="str">
        <f>IF($E1136="","",ROUND(IF(Inputs!$B$12="Daily Simple Interest",$E1136*Inputs!$B$6/Inputs!$B$17*$D1136,$E1136*Inputs!$B$6/Inputs!$B$20),2))</f>
        <v/>
      </c>
      <c r="I1136" s="25" t="str">
        <f>IF($E1136="","",ROUND($L1136-$H1135-$H1136,2))</f>
        <v/>
      </c>
      <c r="J1136" s="25" t="str">
        <f>IF($E1136="","",IF($F1136+$G1136&gt;0,Inputs!$B$11,0))</f>
        <v/>
      </c>
      <c r="K1136" s="25" t="str">
        <f>IF($E1136="","",ROUND(MAX(0,$E1136-$I1136),2))</f>
        <v/>
      </c>
      <c r="L1136" s="25" t="str">
        <f>IF($E1136="","",$M1135+$F1136+$G1136)</f>
        <v/>
      </c>
      <c r="M1136" s="25" t="str">
        <f>IF($E1136="","",0)</f>
        <v/>
      </c>
      <c r="N1136" s="84" t="str">
        <f>IF($E1136="","",IF($K1136&lt;=0.005,"PAID OFF","POSTED"))</f>
        <v/>
      </c>
      <c r="O1136" s="23" t="str">
        <f t="shared" si="163"/>
        <v/>
      </c>
    </row>
    <row r="1137" spans="1:15" ht="20" customHeight="1">
      <c r="A1137" s="22" t="str">
        <f t="shared" si="160"/>
        <v/>
      </c>
      <c r="B1137" s="23" t="str">
        <f>IF($E1137="","",111)</f>
        <v/>
      </c>
      <c r="C1137" s="24" t="str">
        <f>IF($E1137="","",Inputs!$B$9+(110*Inputs!$B$21))</f>
        <v/>
      </c>
      <c r="D1137" s="23" t="str">
        <f t="shared" si="161"/>
        <v/>
      </c>
      <c r="E1137" s="25" t="str">
        <f t="shared" si="162"/>
        <v/>
      </c>
      <c r="F1137" s="25" t="str">
        <f>IF($E1137="","",ROUND(MIN(Comparison!$E$5,MAX(0,$E1137+$H1137)),2))</f>
        <v/>
      </c>
      <c r="G1137" s="25" t="str">
        <f>IF($E1137="","",ROUND(MIN(Inputs!$B$10,MAX(0,$E1137+$H1137-$F1137)),2))</f>
        <v/>
      </c>
      <c r="H1137" s="25" t="str">
        <f>IF($E1137="","",ROUND(IF(Inputs!$B$12="Daily Simple Interest",$E1137*Inputs!$B$6/Inputs!$B$17*$D1137,$E1137*Inputs!$B$6/Inputs!$B$20),2))</f>
        <v/>
      </c>
      <c r="I1137" s="25" t="str">
        <f>IF($E1137="","",0)</f>
        <v/>
      </c>
      <c r="J1137" s="25" t="str">
        <f>IF($E1137="","",IF($F1137+$G1137&gt;0,Inputs!$B$11,0))</f>
        <v/>
      </c>
      <c r="K1137" s="25" t="str">
        <f>IF($E1137="","",$E1137)</f>
        <v/>
      </c>
      <c r="L1137" s="25" t="str">
        <f>IF($E1137="","",0)</f>
        <v/>
      </c>
      <c r="M1137" s="25" t="str">
        <f>IF($E1137="","",$F1137+$G1137)</f>
        <v/>
      </c>
      <c r="N1137" s="84" t="str">
        <f>IF($E1137="","","HELD")</f>
        <v/>
      </c>
      <c r="O1137" s="23" t="str">
        <f t="shared" si="163"/>
        <v/>
      </c>
    </row>
    <row r="1138" spans="1:15" ht="20" customHeight="1">
      <c r="A1138" s="22" t="str">
        <f t="shared" si="160"/>
        <v/>
      </c>
      <c r="B1138" s="23" t="str">
        <f>IF($E1138="","",112)</f>
        <v/>
      </c>
      <c r="C1138" s="24" t="str">
        <f>IF($E1138="","",Inputs!$B$9+(111*Inputs!$B$21))</f>
        <v/>
      </c>
      <c r="D1138" s="23" t="str">
        <f t="shared" si="161"/>
        <v/>
      </c>
      <c r="E1138" s="25" t="str">
        <f t="shared" si="162"/>
        <v/>
      </c>
      <c r="F1138" s="25" t="str">
        <f>IF($E1138="","",ROUND(MIN(Comparison!$E$5,MAX(0,$E1138+$H1137+$H1138-$M1137)),2))</f>
        <v/>
      </c>
      <c r="G1138" s="25" t="str">
        <f>IF($E1138="","",ROUND(MIN(Inputs!$B$10,MAX(0,$E1138+$H1137+$H1138-$M1137-$F1138)),2))</f>
        <v/>
      </c>
      <c r="H1138" s="25" t="str">
        <f>IF($E1138="","",ROUND(IF(Inputs!$B$12="Daily Simple Interest",$E1138*Inputs!$B$6/Inputs!$B$17*$D1138,$E1138*Inputs!$B$6/Inputs!$B$20),2))</f>
        <v/>
      </c>
      <c r="I1138" s="25" t="str">
        <f>IF($E1138="","",ROUND($L1138-$H1137-$H1138,2))</f>
        <v/>
      </c>
      <c r="J1138" s="25" t="str">
        <f>IF($E1138="","",IF($F1138+$G1138&gt;0,Inputs!$B$11,0))</f>
        <v/>
      </c>
      <c r="K1138" s="25" t="str">
        <f>IF($E1138="","",ROUND(MAX(0,$E1138-$I1138),2))</f>
        <v/>
      </c>
      <c r="L1138" s="25" t="str">
        <f>IF($E1138="","",$M1137+$F1138+$G1138)</f>
        <v/>
      </c>
      <c r="M1138" s="25" t="str">
        <f>IF($E1138="","",0)</f>
        <v/>
      </c>
      <c r="N1138" s="84" t="str">
        <f>IF($E1138="","",IF($K1138&lt;=0.005,"PAID OFF","POSTED"))</f>
        <v/>
      </c>
      <c r="O1138" s="23" t="str">
        <f t="shared" si="163"/>
        <v/>
      </c>
    </row>
    <row r="1139" spans="1:15" ht="20" customHeight="1">
      <c r="A1139" s="22" t="str">
        <f t="shared" si="160"/>
        <v/>
      </c>
      <c r="B1139" s="23" t="str">
        <f>IF($E1139="","",113)</f>
        <v/>
      </c>
      <c r="C1139" s="24" t="str">
        <f>IF($E1139="","",Inputs!$B$9+(112*Inputs!$B$21))</f>
        <v/>
      </c>
      <c r="D1139" s="23" t="str">
        <f t="shared" si="161"/>
        <v/>
      </c>
      <c r="E1139" s="25" t="str">
        <f t="shared" si="162"/>
        <v/>
      </c>
      <c r="F1139" s="25" t="str">
        <f>IF($E1139="","",ROUND(MIN(Comparison!$E$5,MAX(0,$E1139+$H1139)),2))</f>
        <v/>
      </c>
      <c r="G1139" s="25" t="str">
        <f>IF($E1139="","",ROUND(MIN(Inputs!$B$10,MAX(0,$E1139+$H1139-$F1139)),2))</f>
        <v/>
      </c>
      <c r="H1139" s="25" t="str">
        <f>IF($E1139="","",ROUND(IF(Inputs!$B$12="Daily Simple Interest",$E1139*Inputs!$B$6/Inputs!$B$17*$D1139,$E1139*Inputs!$B$6/Inputs!$B$20),2))</f>
        <v/>
      </c>
      <c r="I1139" s="25" t="str">
        <f>IF($E1139="","",0)</f>
        <v/>
      </c>
      <c r="J1139" s="25" t="str">
        <f>IF($E1139="","",IF($F1139+$G1139&gt;0,Inputs!$B$11,0))</f>
        <v/>
      </c>
      <c r="K1139" s="25" t="str">
        <f>IF($E1139="","",$E1139)</f>
        <v/>
      </c>
      <c r="L1139" s="25" t="str">
        <f>IF($E1139="","",0)</f>
        <v/>
      </c>
      <c r="M1139" s="25" t="str">
        <f>IF($E1139="","",$F1139+$G1139)</f>
        <v/>
      </c>
      <c r="N1139" s="84" t="str">
        <f>IF($E1139="","","HELD")</f>
        <v/>
      </c>
      <c r="O1139" s="23" t="str">
        <f t="shared" si="163"/>
        <v/>
      </c>
    </row>
    <row r="1140" spans="1:15" ht="20" customHeight="1">
      <c r="A1140" s="22" t="str">
        <f t="shared" si="160"/>
        <v/>
      </c>
      <c r="B1140" s="23" t="str">
        <f>IF($E1140="","",114)</f>
        <v/>
      </c>
      <c r="C1140" s="24" t="str">
        <f>IF($E1140="","",Inputs!$B$9+(113*Inputs!$B$21))</f>
        <v/>
      </c>
      <c r="D1140" s="23" t="str">
        <f t="shared" si="161"/>
        <v/>
      </c>
      <c r="E1140" s="25" t="str">
        <f t="shared" si="162"/>
        <v/>
      </c>
      <c r="F1140" s="25" t="str">
        <f>IF($E1140="","",ROUND(MIN(Comparison!$E$5,MAX(0,$E1140+$H1139+$H1140-$M1139)),2))</f>
        <v/>
      </c>
      <c r="G1140" s="25" t="str">
        <f>IF($E1140="","",ROUND(MIN(Inputs!$B$10,MAX(0,$E1140+$H1139+$H1140-$M1139-$F1140)),2))</f>
        <v/>
      </c>
      <c r="H1140" s="25" t="str">
        <f>IF($E1140="","",ROUND(IF(Inputs!$B$12="Daily Simple Interest",$E1140*Inputs!$B$6/Inputs!$B$17*$D1140,$E1140*Inputs!$B$6/Inputs!$B$20),2))</f>
        <v/>
      </c>
      <c r="I1140" s="25" t="str">
        <f>IF($E1140="","",ROUND($L1140-$H1139-$H1140,2))</f>
        <v/>
      </c>
      <c r="J1140" s="25" t="str">
        <f>IF($E1140="","",IF($F1140+$G1140&gt;0,Inputs!$B$11,0))</f>
        <v/>
      </c>
      <c r="K1140" s="25" t="str">
        <f>IF($E1140="","",ROUND(MAX(0,$E1140-$I1140),2))</f>
        <v/>
      </c>
      <c r="L1140" s="25" t="str">
        <f>IF($E1140="","",$M1139+$F1140+$G1140)</f>
        <v/>
      </c>
      <c r="M1140" s="25" t="str">
        <f>IF($E1140="","",0)</f>
        <v/>
      </c>
      <c r="N1140" s="84" t="str">
        <f>IF($E1140="","",IF($K1140&lt;=0.005,"PAID OFF","POSTED"))</f>
        <v/>
      </c>
      <c r="O1140" s="23" t="str">
        <f t="shared" si="163"/>
        <v/>
      </c>
    </row>
    <row r="1141" spans="1:15" ht="20" customHeight="1">
      <c r="A1141" s="22" t="str">
        <f t="shared" si="160"/>
        <v/>
      </c>
      <c r="B1141" s="23" t="str">
        <f>IF($E1141="","",115)</f>
        <v/>
      </c>
      <c r="C1141" s="24" t="str">
        <f>IF($E1141="","",Inputs!$B$9+(114*Inputs!$B$21))</f>
        <v/>
      </c>
      <c r="D1141" s="23" t="str">
        <f t="shared" si="161"/>
        <v/>
      </c>
      <c r="E1141" s="25" t="str">
        <f t="shared" si="162"/>
        <v/>
      </c>
      <c r="F1141" s="25" t="str">
        <f>IF($E1141="","",ROUND(MIN(Comparison!$E$5,MAX(0,$E1141+$H1141)),2))</f>
        <v/>
      </c>
      <c r="G1141" s="25" t="str">
        <f>IF($E1141="","",ROUND(MIN(Inputs!$B$10,MAX(0,$E1141+$H1141-$F1141)),2))</f>
        <v/>
      </c>
      <c r="H1141" s="25" t="str">
        <f>IF($E1141="","",ROUND(IF(Inputs!$B$12="Daily Simple Interest",$E1141*Inputs!$B$6/Inputs!$B$17*$D1141,$E1141*Inputs!$B$6/Inputs!$B$20),2))</f>
        <v/>
      </c>
      <c r="I1141" s="25" t="str">
        <f>IF($E1141="","",0)</f>
        <v/>
      </c>
      <c r="J1141" s="25" t="str">
        <f>IF($E1141="","",IF($F1141+$G1141&gt;0,Inputs!$B$11,0))</f>
        <v/>
      </c>
      <c r="K1141" s="25" t="str">
        <f>IF($E1141="","",$E1141)</f>
        <v/>
      </c>
      <c r="L1141" s="25" t="str">
        <f>IF($E1141="","",0)</f>
        <v/>
      </c>
      <c r="M1141" s="25" t="str">
        <f>IF($E1141="","",$F1141+$G1141)</f>
        <v/>
      </c>
      <c r="N1141" s="84" t="str">
        <f>IF($E1141="","","HELD")</f>
        <v/>
      </c>
      <c r="O1141" s="23" t="str">
        <f t="shared" si="163"/>
        <v/>
      </c>
    </row>
    <row r="1142" spans="1:15" ht="20" customHeight="1">
      <c r="A1142" s="22" t="str">
        <f t="shared" si="160"/>
        <v/>
      </c>
      <c r="B1142" s="23" t="str">
        <f>IF($E1142="","",116)</f>
        <v/>
      </c>
      <c r="C1142" s="24" t="str">
        <f>IF($E1142="","",Inputs!$B$9+(115*Inputs!$B$21))</f>
        <v/>
      </c>
      <c r="D1142" s="23" t="str">
        <f t="shared" si="161"/>
        <v/>
      </c>
      <c r="E1142" s="25" t="str">
        <f t="shared" si="162"/>
        <v/>
      </c>
      <c r="F1142" s="25" t="str">
        <f>IF($E1142="","",ROUND(MIN(Comparison!$E$5,MAX(0,$E1142+$H1141+$H1142-$M1141)),2))</f>
        <v/>
      </c>
      <c r="G1142" s="25" t="str">
        <f>IF($E1142="","",ROUND(MIN(Inputs!$B$10,MAX(0,$E1142+$H1141+$H1142-$M1141-$F1142)),2))</f>
        <v/>
      </c>
      <c r="H1142" s="25" t="str">
        <f>IF($E1142="","",ROUND(IF(Inputs!$B$12="Daily Simple Interest",$E1142*Inputs!$B$6/Inputs!$B$17*$D1142,$E1142*Inputs!$B$6/Inputs!$B$20),2))</f>
        <v/>
      </c>
      <c r="I1142" s="25" t="str">
        <f>IF($E1142="","",ROUND($L1142-$H1141-$H1142,2))</f>
        <v/>
      </c>
      <c r="J1142" s="25" t="str">
        <f>IF($E1142="","",IF($F1142+$G1142&gt;0,Inputs!$B$11,0))</f>
        <v/>
      </c>
      <c r="K1142" s="25" t="str">
        <f>IF($E1142="","",ROUND(MAX(0,$E1142-$I1142),2))</f>
        <v/>
      </c>
      <c r="L1142" s="25" t="str">
        <f>IF($E1142="","",$M1141+$F1142+$G1142)</f>
        <v/>
      </c>
      <c r="M1142" s="25" t="str">
        <f>IF($E1142="","",0)</f>
        <v/>
      </c>
      <c r="N1142" s="84" t="str">
        <f>IF($E1142="","",IF($K1142&lt;=0.005,"PAID OFF","POSTED"))</f>
        <v/>
      </c>
      <c r="O1142" s="23" t="str">
        <f t="shared" si="163"/>
        <v/>
      </c>
    </row>
    <row r="1143" spans="1:15" ht="20" customHeight="1">
      <c r="A1143" s="22" t="str">
        <f t="shared" si="160"/>
        <v/>
      </c>
      <c r="B1143" s="23" t="str">
        <f>IF($E1143="","",117)</f>
        <v/>
      </c>
      <c r="C1143" s="24" t="str">
        <f>IF($E1143="","",Inputs!$B$9+(116*Inputs!$B$21))</f>
        <v/>
      </c>
      <c r="D1143" s="23" t="str">
        <f t="shared" si="161"/>
        <v/>
      </c>
      <c r="E1143" s="25" t="str">
        <f t="shared" si="162"/>
        <v/>
      </c>
      <c r="F1143" s="25" t="str">
        <f>IF($E1143="","",ROUND(MIN(Comparison!$E$5,MAX(0,$E1143+$H1143)),2))</f>
        <v/>
      </c>
      <c r="G1143" s="25" t="str">
        <f>IF($E1143="","",ROUND(MIN(Inputs!$B$10,MAX(0,$E1143+$H1143-$F1143)),2))</f>
        <v/>
      </c>
      <c r="H1143" s="25" t="str">
        <f>IF($E1143="","",ROUND(IF(Inputs!$B$12="Daily Simple Interest",$E1143*Inputs!$B$6/Inputs!$B$17*$D1143,$E1143*Inputs!$B$6/Inputs!$B$20),2))</f>
        <v/>
      </c>
      <c r="I1143" s="25" t="str">
        <f>IF($E1143="","",0)</f>
        <v/>
      </c>
      <c r="J1143" s="25" t="str">
        <f>IF($E1143="","",IF($F1143+$G1143&gt;0,Inputs!$B$11,0))</f>
        <v/>
      </c>
      <c r="K1143" s="25" t="str">
        <f>IF($E1143="","",$E1143)</f>
        <v/>
      </c>
      <c r="L1143" s="25" t="str">
        <f>IF($E1143="","",0)</f>
        <v/>
      </c>
      <c r="M1143" s="25" t="str">
        <f>IF($E1143="","",$F1143+$G1143)</f>
        <v/>
      </c>
      <c r="N1143" s="84" t="str">
        <f>IF($E1143="","","HELD")</f>
        <v/>
      </c>
      <c r="O1143" s="23" t="str">
        <f t="shared" si="163"/>
        <v/>
      </c>
    </row>
    <row r="1144" spans="1:15" ht="20" customHeight="1">
      <c r="A1144" s="22" t="str">
        <f t="shared" si="160"/>
        <v/>
      </c>
      <c r="B1144" s="23" t="str">
        <f>IF($E1144="","",118)</f>
        <v/>
      </c>
      <c r="C1144" s="24" t="str">
        <f>IF($E1144="","",Inputs!$B$9+(117*Inputs!$B$21))</f>
        <v/>
      </c>
      <c r="D1144" s="23" t="str">
        <f t="shared" si="161"/>
        <v/>
      </c>
      <c r="E1144" s="25" t="str">
        <f t="shared" si="162"/>
        <v/>
      </c>
      <c r="F1144" s="25" t="str">
        <f>IF($E1144="","",ROUND(MIN(Comparison!$E$5,MAX(0,$E1144+$H1143+$H1144-$M1143)),2))</f>
        <v/>
      </c>
      <c r="G1144" s="25" t="str">
        <f>IF($E1144="","",ROUND(MIN(Inputs!$B$10,MAX(0,$E1144+$H1143+$H1144-$M1143-$F1144)),2))</f>
        <v/>
      </c>
      <c r="H1144" s="25" t="str">
        <f>IF($E1144="","",ROUND(IF(Inputs!$B$12="Daily Simple Interest",$E1144*Inputs!$B$6/Inputs!$B$17*$D1144,$E1144*Inputs!$B$6/Inputs!$B$20),2))</f>
        <v/>
      </c>
      <c r="I1144" s="25" t="str">
        <f>IF($E1144="","",ROUND($L1144-$H1143-$H1144,2))</f>
        <v/>
      </c>
      <c r="J1144" s="25" t="str">
        <f>IF($E1144="","",IF($F1144+$G1144&gt;0,Inputs!$B$11,0))</f>
        <v/>
      </c>
      <c r="K1144" s="25" t="str">
        <f>IF($E1144="","",ROUND(MAX(0,$E1144-$I1144),2))</f>
        <v/>
      </c>
      <c r="L1144" s="25" t="str">
        <f>IF($E1144="","",$M1143+$F1144+$G1144)</f>
        <v/>
      </c>
      <c r="M1144" s="25" t="str">
        <f>IF($E1144="","",0)</f>
        <v/>
      </c>
      <c r="N1144" s="84" t="str">
        <f>IF($E1144="","",IF($K1144&lt;=0.005,"PAID OFF","POSTED"))</f>
        <v/>
      </c>
      <c r="O1144" s="23" t="str">
        <f t="shared" si="163"/>
        <v/>
      </c>
    </row>
    <row r="1145" spans="1:15" ht="20" customHeight="1">
      <c r="A1145" s="22" t="str">
        <f t="shared" si="160"/>
        <v/>
      </c>
      <c r="B1145" s="23" t="str">
        <f>IF($E1145="","",119)</f>
        <v/>
      </c>
      <c r="C1145" s="24" t="str">
        <f>IF($E1145="","",Inputs!$B$9+(118*Inputs!$B$21))</f>
        <v/>
      </c>
      <c r="D1145" s="23" t="str">
        <f t="shared" si="161"/>
        <v/>
      </c>
      <c r="E1145" s="25" t="str">
        <f t="shared" si="162"/>
        <v/>
      </c>
      <c r="F1145" s="25" t="str">
        <f>IF($E1145="","",ROUND(MIN(Comparison!$E$5,MAX(0,$E1145+$H1145)),2))</f>
        <v/>
      </c>
      <c r="G1145" s="25" t="str">
        <f>IF($E1145="","",ROUND(MIN(Inputs!$B$10,MAX(0,$E1145+$H1145-$F1145)),2))</f>
        <v/>
      </c>
      <c r="H1145" s="25" t="str">
        <f>IF($E1145="","",ROUND(IF(Inputs!$B$12="Daily Simple Interest",$E1145*Inputs!$B$6/Inputs!$B$17*$D1145,$E1145*Inputs!$B$6/Inputs!$B$20),2))</f>
        <v/>
      </c>
      <c r="I1145" s="25" t="str">
        <f>IF($E1145="","",0)</f>
        <v/>
      </c>
      <c r="J1145" s="25" t="str">
        <f>IF($E1145="","",IF($F1145+$G1145&gt;0,Inputs!$B$11,0))</f>
        <v/>
      </c>
      <c r="K1145" s="25" t="str">
        <f>IF($E1145="","",$E1145)</f>
        <v/>
      </c>
      <c r="L1145" s="25" t="str">
        <f>IF($E1145="","",0)</f>
        <v/>
      </c>
      <c r="M1145" s="25" t="str">
        <f>IF($E1145="","",$F1145+$G1145)</f>
        <v/>
      </c>
      <c r="N1145" s="84" t="str">
        <f>IF($E1145="","","HELD")</f>
        <v/>
      </c>
      <c r="O1145" s="23" t="str">
        <f t="shared" si="163"/>
        <v/>
      </c>
    </row>
    <row r="1146" spans="1:15" ht="20" customHeight="1">
      <c r="A1146" s="22" t="str">
        <f t="shared" si="160"/>
        <v/>
      </c>
      <c r="B1146" s="23" t="str">
        <f>IF($E1146="","",120)</f>
        <v/>
      </c>
      <c r="C1146" s="24" t="str">
        <f>IF($E1146="","",Inputs!$B$9+(119*Inputs!$B$21))</f>
        <v/>
      </c>
      <c r="D1146" s="23" t="str">
        <f t="shared" si="161"/>
        <v/>
      </c>
      <c r="E1146" s="25" t="str">
        <f t="shared" si="162"/>
        <v/>
      </c>
      <c r="F1146" s="25" t="str">
        <f>IF($E1146="","",ROUND(MIN(Comparison!$E$5,MAX(0,$E1146+$H1145+$H1146-$M1145)),2))</f>
        <v/>
      </c>
      <c r="G1146" s="25" t="str">
        <f>IF($E1146="","",ROUND(MIN(Inputs!$B$10,MAX(0,$E1146+$H1145+$H1146-$M1145-$F1146)),2))</f>
        <v/>
      </c>
      <c r="H1146" s="25" t="str">
        <f>IF($E1146="","",ROUND(IF(Inputs!$B$12="Daily Simple Interest",$E1146*Inputs!$B$6/Inputs!$B$17*$D1146,$E1146*Inputs!$B$6/Inputs!$B$20),2))</f>
        <v/>
      </c>
      <c r="I1146" s="25" t="str">
        <f>IF($E1146="","",ROUND($L1146-$H1145-$H1146,2))</f>
        <v/>
      </c>
      <c r="J1146" s="25" t="str">
        <f>IF($E1146="","",IF($F1146+$G1146&gt;0,Inputs!$B$11,0))</f>
        <v/>
      </c>
      <c r="K1146" s="25" t="str">
        <f>IF($E1146="","",ROUND(MAX(0,$E1146-$I1146),2))</f>
        <v/>
      </c>
      <c r="L1146" s="25" t="str">
        <f>IF($E1146="","",$M1145+$F1146+$G1146)</f>
        <v/>
      </c>
      <c r="M1146" s="25" t="str">
        <f>IF($E1146="","",0)</f>
        <v/>
      </c>
      <c r="N1146" s="84" t="str">
        <f>IF($E1146="","",IF($K1146&lt;=0.005,"PAID OFF","POSTED"))</f>
        <v/>
      </c>
      <c r="O1146" s="23" t="str">
        <f t="shared" si="163"/>
        <v/>
      </c>
    </row>
    <row r="1147" spans="1:15" ht="20" customHeight="1">
      <c r="A1147" s="22" t="str">
        <f t="shared" si="160"/>
        <v/>
      </c>
      <c r="B1147" s="23" t="str">
        <f>IF($E1147="","",121)</f>
        <v/>
      </c>
      <c r="C1147" s="24" t="str">
        <f>IF($E1147="","",Inputs!$B$9+(120*Inputs!$B$21))</f>
        <v/>
      </c>
      <c r="D1147" s="23" t="str">
        <f t="shared" si="161"/>
        <v/>
      </c>
      <c r="E1147" s="25" t="str">
        <f t="shared" si="162"/>
        <v/>
      </c>
      <c r="F1147" s="25" t="str">
        <f>IF($E1147="","",ROUND(MIN(Comparison!$E$5,MAX(0,$E1147+$H1147)),2))</f>
        <v/>
      </c>
      <c r="G1147" s="25" t="str">
        <f>IF($E1147="","",ROUND(MIN(Inputs!$B$10,MAX(0,$E1147+$H1147-$F1147)),2))</f>
        <v/>
      </c>
      <c r="H1147" s="25" t="str">
        <f>IF($E1147="","",ROUND(IF(Inputs!$B$12="Daily Simple Interest",$E1147*Inputs!$B$6/Inputs!$B$17*$D1147,$E1147*Inputs!$B$6/Inputs!$B$20),2))</f>
        <v/>
      </c>
      <c r="I1147" s="25" t="str">
        <f>IF($E1147="","",0)</f>
        <v/>
      </c>
      <c r="J1147" s="25" t="str">
        <f>IF($E1147="","",IF($F1147+$G1147&gt;0,Inputs!$B$11,0))</f>
        <v/>
      </c>
      <c r="K1147" s="25" t="str">
        <f>IF($E1147="","",$E1147)</f>
        <v/>
      </c>
      <c r="L1147" s="25" t="str">
        <f>IF($E1147="","",0)</f>
        <v/>
      </c>
      <c r="M1147" s="25" t="str">
        <f>IF($E1147="","",$F1147+$G1147)</f>
        <v/>
      </c>
      <c r="N1147" s="84" t="str">
        <f>IF($E1147="","","HELD")</f>
        <v/>
      </c>
      <c r="O1147" s="23" t="str">
        <f t="shared" si="163"/>
        <v/>
      </c>
    </row>
    <row r="1148" spans="1:15" ht="20" customHeight="1">
      <c r="A1148" s="22" t="str">
        <f t="shared" si="160"/>
        <v/>
      </c>
      <c r="B1148" s="23" t="str">
        <f>IF($E1148="","",122)</f>
        <v/>
      </c>
      <c r="C1148" s="24" t="str">
        <f>IF($E1148="","",Inputs!$B$9+(121*Inputs!$B$21))</f>
        <v/>
      </c>
      <c r="D1148" s="23" t="str">
        <f t="shared" si="161"/>
        <v/>
      </c>
      <c r="E1148" s="25" t="str">
        <f t="shared" si="162"/>
        <v/>
      </c>
      <c r="F1148" s="25" t="str">
        <f>IF($E1148="","",ROUND(MIN(Comparison!$E$5,MAX(0,$E1148+$H1147+$H1148-$M1147)),2))</f>
        <v/>
      </c>
      <c r="G1148" s="25" t="str">
        <f>IF($E1148="","",ROUND(MIN(Inputs!$B$10,MAX(0,$E1148+$H1147+$H1148-$M1147-$F1148)),2))</f>
        <v/>
      </c>
      <c r="H1148" s="25" t="str">
        <f>IF($E1148="","",ROUND(IF(Inputs!$B$12="Daily Simple Interest",$E1148*Inputs!$B$6/Inputs!$B$17*$D1148,$E1148*Inputs!$B$6/Inputs!$B$20),2))</f>
        <v/>
      </c>
      <c r="I1148" s="25" t="str">
        <f>IF($E1148="","",ROUND($L1148-$H1147-$H1148,2))</f>
        <v/>
      </c>
      <c r="J1148" s="25" t="str">
        <f>IF($E1148="","",IF($F1148+$G1148&gt;0,Inputs!$B$11,0))</f>
        <v/>
      </c>
      <c r="K1148" s="25" t="str">
        <f>IF($E1148="","",ROUND(MAX(0,$E1148-$I1148),2))</f>
        <v/>
      </c>
      <c r="L1148" s="25" t="str">
        <f>IF($E1148="","",$M1147+$F1148+$G1148)</f>
        <v/>
      </c>
      <c r="M1148" s="25" t="str">
        <f>IF($E1148="","",0)</f>
        <v/>
      </c>
      <c r="N1148" s="84" t="str">
        <f>IF($E1148="","",IF($K1148&lt;=0.005,"PAID OFF","POSTED"))</f>
        <v/>
      </c>
      <c r="O1148" s="23" t="str">
        <f t="shared" si="163"/>
        <v/>
      </c>
    </row>
    <row r="1149" spans="1:15" ht="20" customHeight="1">
      <c r="A1149" s="22" t="str">
        <f t="shared" si="160"/>
        <v/>
      </c>
      <c r="B1149" s="23" t="str">
        <f>IF($E1149="","",123)</f>
        <v/>
      </c>
      <c r="C1149" s="24" t="str">
        <f>IF($E1149="","",Inputs!$B$9+(122*Inputs!$B$21))</f>
        <v/>
      </c>
      <c r="D1149" s="23" t="str">
        <f t="shared" si="161"/>
        <v/>
      </c>
      <c r="E1149" s="25" t="str">
        <f t="shared" si="162"/>
        <v/>
      </c>
      <c r="F1149" s="25" t="str">
        <f>IF($E1149="","",ROUND(MIN(Comparison!$E$5,MAX(0,$E1149+$H1149)),2))</f>
        <v/>
      </c>
      <c r="G1149" s="25" t="str">
        <f>IF($E1149="","",ROUND(MIN(Inputs!$B$10,MAX(0,$E1149+$H1149-$F1149)),2))</f>
        <v/>
      </c>
      <c r="H1149" s="25" t="str">
        <f>IF($E1149="","",ROUND(IF(Inputs!$B$12="Daily Simple Interest",$E1149*Inputs!$B$6/Inputs!$B$17*$D1149,$E1149*Inputs!$B$6/Inputs!$B$20),2))</f>
        <v/>
      </c>
      <c r="I1149" s="25" t="str">
        <f>IF($E1149="","",0)</f>
        <v/>
      </c>
      <c r="J1149" s="25" t="str">
        <f>IF($E1149="","",IF($F1149+$G1149&gt;0,Inputs!$B$11,0))</f>
        <v/>
      </c>
      <c r="K1149" s="25" t="str">
        <f>IF($E1149="","",$E1149)</f>
        <v/>
      </c>
      <c r="L1149" s="25" t="str">
        <f>IF($E1149="","",0)</f>
        <v/>
      </c>
      <c r="M1149" s="25" t="str">
        <f>IF($E1149="","",$F1149+$G1149)</f>
        <v/>
      </c>
      <c r="N1149" s="84" t="str">
        <f>IF($E1149="","","HELD")</f>
        <v/>
      </c>
      <c r="O1149" s="23" t="str">
        <f t="shared" si="163"/>
        <v/>
      </c>
    </row>
    <row r="1150" spans="1:15" ht="20" customHeight="1">
      <c r="A1150" s="22" t="str">
        <f t="shared" si="160"/>
        <v/>
      </c>
      <c r="B1150" s="23" t="str">
        <f>IF($E1150="","",124)</f>
        <v/>
      </c>
      <c r="C1150" s="24" t="str">
        <f>IF($E1150="","",Inputs!$B$9+(123*Inputs!$B$21))</f>
        <v/>
      </c>
      <c r="D1150" s="23" t="str">
        <f t="shared" si="161"/>
        <v/>
      </c>
      <c r="E1150" s="25" t="str">
        <f t="shared" si="162"/>
        <v/>
      </c>
      <c r="F1150" s="25" t="str">
        <f>IF($E1150="","",ROUND(MIN(Comparison!$E$5,MAX(0,$E1150+$H1149+$H1150-$M1149)),2))</f>
        <v/>
      </c>
      <c r="G1150" s="25" t="str">
        <f>IF($E1150="","",ROUND(MIN(Inputs!$B$10,MAX(0,$E1150+$H1149+$H1150-$M1149-$F1150)),2))</f>
        <v/>
      </c>
      <c r="H1150" s="25" t="str">
        <f>IF($E1150="","",ROUND(IF(Inputs!$B$12="Daily Simple Interest",$E1150*Inputs!$B$6/Inputs!$B$17*$D1150,$E1150*Inputs!$B$6/Inputs!$B$20),2))</f>
        <v/>
      </c>
      <c r="I1150" s="25" t="str">
        <f>IF($E1150="","",ROUND($L1150-$H1149-$H1150,2))</f>
        <v/>
      </c>
      <c r="J1150" s="25" t="str">
        <f>IF($E1150="","",IF($F1150+$G1150&gt;0,Inputs!$B$11,0))</f>
        <v/>
      </c>
      <c r="K1150" s="25" t="str">
        <f>IF($E1150="","",ROUND(MAX(0,$E1150-$I1150),2))</f>
        <v/>
      </c>
      <c r="L1150" s="25" t="str">
        <f>IF($E1150="","",$M1149+$F1150+$G1150)</f>
        <v/>
      </c>
      <c r="M1150" s="25" t="str">
        <f>IF($E1150="","",0)</f>
        <v/>
      </c>
      <c r="N1150" s="84" t="str">
        <f>IF($E1150="","",IF($K1150&lt;=0.005,"PAID OFF","POSTED"))</f>
        <v/>
      </c>
      <c r="O1150" s="23" t="str">
        <f t="shared" si="163"/>
        <v/>
      </c>
    </row>
    <row r="1151" spans="1:15" ht="20" customHeight="1">
      <c r="A1151" s="22" t="str">
        <f t="shared" si="160"/>
        <v/>
      </c>
      <c r="B1151" s="23" t="str">
        <f>IF($E1151="","",125)</f>
        <v/>
      </c>
      <c r="C1151" s="24" t="str">
        <f>IF($E1151="","",Inputs!$B$9+(124*Inputs!$B$21))</f>
        <v/>
      </c>
      <c r="D1151" s="23" t="str">
        <f t="shared" si="161"/>
        <v/>
      </c>
      <c r="E1151" s="25" t="str">
        <f t="shared" si="162"/>
        <v/>
      </c>
      <c r="F1151" s="25" t="str">
        <f>IF($E1151="","",ROUND(MIN(Comparison!$E$5,MAX(0,$E1151+$H1151)),2))</f>
        <v/>
      </c>
      <c r="G1151" s="25" t="str">
        <f>IF($E1151="","",ROUND(MIN(Inputs!$B$10,MAX(0,$E1151+$H1151-$F1151)),2))</f>
        <v/>
      </c>
      <c r="H1151" s="25" t="str">
        <f>IF($E1151="","",ROUND(IF(Inputs!$B$12="Daily Simple Interest",$E1151*Inputs!$B$6/Inputs!$B$17*$D1151,$E1151*Inputs!$B$6/Inputs!$B$20),2))</f>
        <v/>
      </c>
      <c r="I1151" s="25" t="str">
        <f>IF($E1151="","",0)</f>
        <v/>
      </c>
      <c r="J1151" s="25" t="str">
        <f>IF($E1151="","",IF($F1151+$G1151&gt;0,Inputs!$B$11,0))</f>
        <v/>
      </c>
      <c r="K1151" s="25" t="str">
        <f>IF($E1151="","",$E1151)</f>
        <v/>
      </c>
      <c r="L1151" s="25" t="str">
        <f>IF($E1151="","",0)</f>
        <v/>
      </c>
      <c r="M1151" s="25" t="str">
        <f>IF($E1151="","",$F1151+$G1151)</f>
        <v/>
      </c>
      <c r="N1151" s="84" t="str">
        <f>IF($E1151="","","HELD")</f>
        <v/>
      </c>
      <c r="O1151" s="23" t="str">
        <f t="shared" si="163"/>
        <v/>
      </c>
    </row>
    <row r="1152" spans="1:15" ht="20" customHeight="1">
      <c r="A1152" s="22" t="str">
        <f t="shared" si="160"/>
        <v/>
      </c>
      <c r="B1152" s="23" t="str">
        <f>IF($E1152="","",126)</f>
        <v/>
      </c>
      <c r="C1152" s="24" t="str">
        <f>IF($E1152="","",Inputs!$B$9+(125*Inputs!$B$21))</f>
        <v/>
      </c>
      <c r="D1152" s="23" t="str">
        <f t="shared" si="161"/>
        <v/>
      </c>
      <c r="E1152" s="25" t="str">
        <f t="shared" si="162"/>
        <v/>
      </c>
      <c r="F1152" s="25" t="str">
        <f>IF($E1152="","",ROUND(MIN(Comparison!$E$5,MAX(0,$E1152+$H1151+$H1152-$M1151)),2))</f>
        <v/>
      </c>
      <c r="G1152" s="25" t="str">
        <f>IF($E1152="","",ROUND(MIN(Inputs!$B$10,MAX(0,$E1152+$H1151+$H1152-$M1151-$F1152)),2))</f>
        <v/>
      </c>
      <c r="H1152" s="25" t="str">
        <f>IF($E1152="","",ROUND(IF(Inputs!$B$12="Daily Simple Interest",$E1152*Inputs!$B$6/Inputs!$B$17*$D1152,$E1152*Inputs!$B$6/Inputs!$B$20),2))</f>
        <v/>
      </c>
      <c r="I1152" s="25" t="str">
        <f>IF($E1152="","",ROUND($L1152-$H1151-$H1152,2))</f>
        <v/>
      </c>
      <c r="J1152" s="25" t="str">
        <f>IF($E1152="","",IF($F1152+$G1152&gt;0,Inputs!$B$11,0))</f>
        <v/>
      </c>
      <c r="K1152" s="25" t="str">
        <f>IF($E1152="","",ROUND(MAX(0,$E1152-$I1152),2))</f>
        <v/>
      </c>
      <c r="L1152" s="25" t="str">
        <f>IF($E1152="","",$M1151+$F1152+$G1152)</f>
        <v/>
      </c>
      <c r="M1152" s="25" t="str">
        <f>IF($E1152="","",0)</f>
        <v/>
      </c>
      <c r="N1152" s="84" t="str">
        <f>IF($E1152="","",IF($K1152&lt;=0.005,"PAID OFF","POSTED"))</f>
        <v/>
      </c>
      <c r="O1152" s="23" t="str">
        <f t="shared" si="163"/>
        <v/>
      </c>
    </row>
    <row r="1153" spans="1:15" ht="20" customHeight="1">
      <c r="A1153" s="22" t="str">
        <f t="shared" si="160"/>
        <v/>
      </c>
      <c r="B1153" s="23" t="str">
        <f>IF($E1153="","",127)</f>
        <v/>
      </c>
      <c r="C1153" s="24" t="str">
        <f>IF($E1153="","",Inputs!$B$9+(126*Inputs!$B$21))</f>
        <v/>
      </c>
      <c r="D1153" s="23" t="str">
        <f t="shared" si="161"/>
        <v/>
      </c>
      <c r="E1153" s="25" t="str">
        <f t="shared" si="162"/>
        <v/>
      </c>
      <c r="F1153" s="25" t="str">
        <f>IF($E1153="","",ROUND(MIN(Comparison!$E$5,MAX(0,$E1153+$H1153)),2))</f>
        <v/>
      </c>
      <c r="G1153" s="25" t="str">
        <f>IF($E1153="","",ROUND(MIN(Inputs!$B$10,MAX(0,$E1153+$H1153-$F1153)),2))</f>
        <v/>
      </c>
      <c r="H1153" s="25" t="str">
        <f>IF($E1153="","",ROUND(IF(Inputs!$B$12="Daily Simple Interest",$E1153*Inputs!$B$6/Inputs!$B$17*$D1153,$E1153*Inputs!$B$6/Inputs!$B$20),2))</f>
        <v/>
      </c>
      <c r="I1153" s="25" t="str">
        <f>IF($E1153="","",0)</f>
        <v/>
      </c>
      <c r="J1153" s="25" t="str">
        <f>IF($E1153="","",IF($F1153+$G1153&gt;0,Inputs!$B$11,0))</f>
        <v/>
      </c>
      <c r="K1153" s="25" t="str">
        <f>IF($E1153="","",$E1153)</f>
        <v/>
      </c>
      <c r="L1153" s="25" t="str">
        <f>IF($E1153="","",0)</f>
        <v/>
      </c>
      <c r="M1153" s="25" t="str">
        <f>IF($E1153="","",$F1153+$G1153)</f>
        <v/>
      </c>
      <c r="N1153" s="84" t="str">
        <f>IF($E1153="","","HELD")</f>
        <v/>
      </c>
      <c r="O1153" s="23" t="str">
        <f t="shared" si="163"/>
        <v/>
      </c>
    </row>
    <row r="1154" spans="1:15" ht="20" customHeight="1">
      <c r="A1154" s="22" t="str">
        <f t="shared" si="160"/>
        <v/>
      </c>
      <c r="B1154" s="23" t="str">
        <f>IF($E1154="","",128)</f>
        <v/>
      </c>
      <c r="C1154" s="24" t="str">
        <f>IF($E1154="","",Inputs!$B$9+(127*Inputs!$B$21))</f>
        <v/>
      </c>
      <c r="D1154" s="23" t="str">
        <f t="shared" si="161"/>
        <v/>
      </c>
      <c r="E1154" s="25" t="str">
        <f t="shared" si="162"/>
        <v/>
      </c>
      <c r="F1154" s="25" t="str">
        <f>IF($E1154="","",ROUND(MIN(Comparison!$E$5,MAX(0,$E1154+$H1153+$H1154-$M1153)),2))</f>
        <v/>
      </c>
      <c r="G1154" s="25" t="str">
        <f>IF($E1154="","",ROUND(MIN(Inputs!$B$10,MAX(0,$E1154+$H1153+$H1154-$M1153-$F1154)),2))</f>
        <v/>
      </c>
      <c r="H1154" s="25" t="str">
        <f>IF($E1154="","",ROUND(IF(Inputs!$B$12="Daily Simple Interest",$E1154*Inputs!$B$6/Inputs!$B$17*$D1154,$E1154*Inputs!$B$6/Inputs!$B$20),2))</f>
        <v/>
      </c>
      <c r="I1154" s="25" t="str">
        <f>IF($E1154="","",ROUND($L1154-$H1153-$H1154,2))</f>
        <v/>
      </c>
      <c r="J1154" s="25" t="str">
        <f>IF($E1154="","",IF($F1154+$G1154&gt;0,Inputs!$B$11,0))</f>
        <v/>
      </c>
      <c r="K1154" s="25" t="str">
        <f>IF($E1154="","",ROUND(MAX(0,$E1154-$I1154),2))</f>
        <v/>
      </c>
      <c r="L1154" s="25" t="str">
        <f>IF($E1154="","",$M1153+$F1154+$G1154)</f>
        <v/>
      </c>
      <c r="M1154" s="25" t="str">
        <f>IF($E1154="","",0)</f>
        <v/>
      </c>
      <c r="N1154" s="84" t="str">
        <f>IF($E1154="","",IF($K1154&lt;=0.005,"PAID OFF","POSTED"))</f>
        <v/>
      </c>
      <c r="O1154" s="23" t="str">
        <f t="shared" si="163"/>
        <v/>
      </c>
    </row>
    <row r="1155" spans="1:15" ht="20" customHeight="1">
      <c r="A1155" s="22" t="str">
        <f t="shared" ref="A1155:A1218" si="164">IF($E1155="","","Biweekly Held by Lender")</f>
        <v/>
      </c>
      <c r="B1155" s="23" t="str">
        <f>IF($E1155="","",129)</f>
        <v/>
      </c>
      <c r="C1155" s="24" t="str">
        <f>IF($E1155="","",Inputs!$B$9+(128*Inputs!$B$21))</f>
        <v/>
      </c>
      <c r="D1155" s="23" t="str">
        <f t="shared" si="161"/>
        <v/>
      </c>
      <c r="E1155" s="25" t="str">
        <f t="shared" si="162"/>
        <v/>
      </c>
      <c r="F1155" s="25" t="str">
        <f>IF($E1155="","",ROUND(MIN(Comparison!$E$5,MAX(0,$E1155+$H1155)),2))</f>
        <v/>
      </c>
      <c r="G1155" s="25" t="str">
        <f>IF($E1155="","",ROUND(MIN(Inputs!$B$10,MAX(0,$E1155+$H1155-$F1155)),2))</f>
        <v/>
      </c>
      <c r="H1155" s="25" t="str">
        <f>IF($E1155="","",ROUND(IF(Inputs!$B$12="Daily Simple Interest",$E1155*Inputs!$B$6/Inputs!$B$17*$D1155,$E1155*Inputs!$B$6/Inputs!$B$20),2))</f>
        <v/>
      </c>
      <c r="I1155" s="25" t="str">
        <f>IF($E1155="","",0)</f>
        <v/>
      </c>
      <c r="J1155" s="25" t="str">
        <f>IF($E1155="","",IF($F1155+$G1155&gt;0,Inputs!$B$11,0))</f>
        <v/>
      </c>
      <c r="K1155" s="25" t="str">
        <f>IF($E1155="","",$E1155)</f>
        <v/>
      </c>
      <c r="L1155" s="25" t="str">
        <f>IF($E1155="","",0)</f>
        <v/>
      </c>
      <c r="M1155" s="25" t="str">
        <f>IF($E1155="","",$F1155+$G1155)</f>
        <v/>
      </c>
      <c r="N1155" s="84" t="str">
        <f>IF($E1155="","","HELD")</f>
        <v/>
      </c>
      <c r="O1155" s="23" t="str">
        <f t="shared" si="163"/>
        <v/>
      </c>
    </row>
    <row r="1156" spans="1:15" ht="20" customHeight="1">
      <c r="A1156" s="22" t="str">
        <f t="shared" si="164"/>
        <v/>
      </c>
      <c r="B1156" s="23" t="str">
        <f>IF($E1156="","",130)</f>
        <v/>
      </c>
      <c r="C1156" s="24" t="str">
        <f>IF($E1156="","",Inputs!$B$9+(129*Inputs!$B$21))</f>
        <v/>
      </c>
      <c r="D1156" s="23" t="str">
        <f t="shared" ref="D1156:D1219" si="165">IF($E1156="","",$C1156-$C1155)</f>
        <v/>
      </c>
      <c r="E1156" s="25" t="str">
        <f t="shared" ref="E1156:E1219" si="166">IF($K1155&gt;0.005,$K1155,"")</f>
        <v/>
      </c>
      <c r="F1156" s="25" t="str">
        <f>IF($E1156="","",ROUND(MIN(Comparison!$E$5,MAX(0,$E1156+$H1155+$H1156-$M1155)),2))</f>
        <v/>
      </c>
      <c r="G1156" s="25" t="str">
        <f>IF($E1156="","",ROUND(MIN(Inputs!$B$10,MAX(0,$E1156+$H1155+$H1156-$M1155-$F1156)),2))</f>
        <v/>
      </c>
      <c r="H1156" s="25" t="str">
        <f>IF($E1156="","",ROUND(IF(Inputs!$B$12="Daily Simple Interest",$E1156*Inputs!$B$6/Inputs!$B$17*$D1156,$E1156*Inputs!$B$6/Inputs!$B$20),2))</f>
        <v/>
      </c>
      <c r="I1156" s="25" t="str">
        <f>IF($E1156="","",ROUND($L1156-$H1155-$H1156,2))</f>
        <v/>
      </c>
      <c r="J1156" s="25" t="str">
        <f>IF($E1156="","",IF($F1156+$G1156&gt;0,Inputs!$B$11,0))</f>
        <v/>
      </c>
      <c r="K1156" s="25" t="str">
        <f>IF($E1156="","",ROUND(MAX(0,$E1156-$I1156),2))</f>
        <v/>
      </c>
      <c r="L1156" s="25" t="str">
        <f>IF($E1156="","",$M1155+$F1156+$G1156)</f>
        <v/>
      </c>
      <c r="M1156" s="25" t="str">
        <f>IF($E1156="","",0)</f>
        <v/>
      </c>
      <c r="N1156" s="84" t="str">
        <f>IF($E1156="","",IF($K1156&lt;=0.005,"PAID OFF","POSTED"))</f>
        <v/>
      </c>
      <c r="O1156" s="23" t="str">
        <f t="shared" si="163"/>
        <v/>
      </c>
    </row>
    <row r="1157" spans="1:15" ht="20" customHeight="1">
      <c r="A1157" s="22" t="str">
        <f t="shared" si="164"/>
        <v/>
      </c>
      <c r="B1157" s="23" t="str">
        <f>IF($E1157="","",131)</f>
        <v/>
      </c>
      <c r="C1157" s="24" t="str">
        <f>IF($E1157="","",Inputs!$B$9+(130*Inputs!$B$21))</f>
        <v/>
      </c>
      <c r="D1157" s="23" t="str">
        <f t="shared" si="165"/>
        <v/>
      </c>
      <c r="E1157" s="25" t="str">
        <f t="shared" si="166"/>
        <v/>
      </c>
      <c r="F1157" s="25" t="str">
        <f>IF($E1157="","",ROUND(MIN(Comparison!$E$5,MAX(0,$E1157+$H1157)),2))</f>
        <v/>
      </c>
      <c r="G1157" s="25" t="str">
        <f>IF($E1157="","",ROUND(MIN(Inputs!$B$10,MAX(0,$E1157+$H1157-$F1157)),2))</f>
        <v/>
      </c>
      <c r="H1157" s="25" t="str">
        <f>IF($E1157="","",ROUND(IF(Inputs!$B$12="Daily Simple Interest",$E1157*Inputs!$B$6/Inputs!$B$17*$D1157,$E1157*Inputs!$B$6/Inputs!$B$20),2))</f>
        <v/>
      </c>
      <c r="I1157" s="25" t="str">
        <f>IF($E1157="","",0)</f>
        <v/>
      </c>
      <c r="J1157" s="25" t="str">
        <f>IF($E1157="","",IF($F1157+$G1157&gt;0,Inputs!$B$11,0))</f>
        <v/>
      </c>
      <c r="K1157" s="25" t="str">
        <f>IF($E1157="","",$E1157)</f>
        <v/>
      </c>
      <c r="L1157" s="25" t="str">
        <f>IF($E1157="","",0)</f>
        <v/>
      </c>
      <c r="M1157" s="25" t="str">
        <f>IF($E1157="","",$F1157+$G1157)</f>
        <v/>
      </c>
      <c r="N1157" s="84" t="str">
        <f>IF($E1157="","","HELD")</f>
        <v/>
      </c>
      <c r="O1157" s="23" t="str">
        <f t="shared" si="163"/>
        <v/>
      </c>
    </row>
    <row r="1158" spans="1:15" ht="20" customHeight="1">
      <c r="A1158" s="22" t="str">
        <f t="shared" si="164"/>
        <v/>
      </c>
      <c r="B1158" s="23" t="str">
        <f>IF($E1158="","",132)</f>
        <v/>
      </c>
      <c r="C1158" s="24" t="str">
        <f>IF($E1158="","",Inputs!$B$9+(131*Inputs!$B$21))</f>
        <v/>
      </c>
      <c r="D1158" s="23" t="str">
        <f t="shared" si="165"/>
        <v/>
      </c>
      <c r="E1158" s="25" t="str">
        <f t="shared" si="166"/>
        <v/>
      </c>
      <c r="F1158" s="25" t="str">
        <f>IF($E1158="","",ROUND(MIN(Comparison!$E$5,MAX(0,$E1158+$H1157+$H1158-$M1157)),2))</f>
        <v/>
      </c>
      <c r="G1158" s="25" t="str">
        <f>IF($E1158="","",ROUND(MIN(Inputs!$B$10,MAX(0,$E1158+$H1157+$H1158-$M1157-$F1158)),2))</f>
        <v/>
      </c>
      <c r="H1158" s="25" t="str">
        <f>IF($E1158="","",ROUND(IF(Inputs!$B$12="Daily Simple Interest",$E1158*Inputs!$B$6/Inputs!$B$17*$D1158,$E1158*Inputs!$B$6/Inputs!$B$20),2))</f>
        <v/>
      </c>
      <c r="I1158" s="25" t="str">
        <f>IF($E1158="","",ROUND($L1158-$H1157-$H1158,2))</f>
        <v/>
      </c>
      <c r="J1158" s="25" t="str">
        <f>IF($E1158="","",IF($F1158+$G1158&gt;0,Inputs!$B$11,0))</f>
        <v/>
      </c>
      <c r="K1158" s="25" t="str">
        <f>IF($E1158="","",ROUND(MAX(0,$E1158-$I1158),2))</f>
        <v/>
      </c>
      <c r="L1158" s="25" t="str">
        <f>IF($E1158="","",$M1157+$F1158+$G1158)</f>
        <v/>
      </c>
      <c r="M1158" s="25" t="str">
        <f>IF($E1158="","",0)</f>
        <v/>
      </c>
      <c r="N1158" s="84" t="str">
        <f>IF($E1158="","",IF($K1158&lt;=0.005,"PAID OFF","POSTED"))</f>
        <v/>
      </c>
      <c r="O1158" s="23" t="str">
        <f t="shared" si="163"/>
        <v/>
      </c>
    </row>
    <row r="1159" spans="1:15" ht="20" customHeight="1">
      <c r="A1159" s="22" t="str">
        <f t="shared" si="164"/>
        <v/>
      </c>
      <c r="B1159" s="23" t="str">
        <f>IF($E1159="","",133)</f>
        <v/>
      </c>
      <c r="C1159" s="24" t="str">
        <f>IF($E1159="","",Inputs!$B$9+(132*Inputs!$B$21))</f>
        <v/>
      </c>
      <c r="D1159" s="23" t="str">
        <f t="shared" si="165"/>
        <v/>
      </c>
      <c r="E1159" s="25" t="str">
        <f t="shared" si="166"/>
        <v/>
      </c>
      <c r="F1159" s="25" t="str">
        <f>IF($E1159="","",ROUND(MIN(Comparison!$E$5,MAX(0,$E1159+$H1159)),2))</f>
        <v/>
      </c>
      <c r="G1159" s="25" t="str">
        <f>IF($E1159="","",ROUND(MIN(Inputs!$B$10,MAX(0,$E1159+$H1159-$F1159)),2))</f>
        <v/>
      </c>
      <c r="H1159" s="25" t="str">
        <f>IF($E1159="","",ROUND(IF(Inputs!$B$12="Daily Simple Interest",$E1159*Inputs!$B$6/Inputs!$B$17*$D1159,$E1159*Inputs!$B$6/Inputs!$B$20),2))</f>
        <v/>
      </c>
      <c r="I1159" s="25" t="str">
        <f>IF($E1159="","",0)</f>
        <v/>
      </c>
      <c r="J1159" s="25" t="str">
        <f>IF($E1159="","",IF($F1159+$G1159&gt;0,Inputs!$B$11,0))</f>
        <v/>
      </c>
      <c r="K1159" s="25" t="str">
        <f>IF($E1159="","",$E1159)</f>
        <v/>
      </c>
      <c r="L1159" s="25" t="str">
        <f>IF($E1159="","",0)</f>
        <v/>
      </c>
      <c r="M1159" s="25" t="str">
        <f>IF($E1159="","",$F1159+$G1159)</f>
        <v/>
      </c>
      <c r="N1159" s="84" t="str">
        <f>IF($E1159="","","HELD")</f>
        <v/>
      </c>
      <c r="O1159" s="23" t="str">
        <f t="shared" ref="O1159:O1222" si="167">IF($E1159="","",IF($F1159+$G1159&gt;0,1,0))</f>
        <v/>
      </c>
    </row>
    <row r="1160" spans="1:15" ht="20" customHeight="1">
      <c r="A1160" s="22" t="str">
        <f t="shared" si="164"/>
        <v/>
      </c>
      <c r="B1160" s="23" t="str">
        <f>IF($E1160="","",134)</f>
        <v/>
      </c>
      <c r="C1160" s="24" t="str">
        <f>IF($E1160="","",Inputs!$B$9+(133*Inputs!$B$21))</f>
        <v/>
      </c>
      <c r="D1160" s="23" t="str">
        <f t="shared" si="165"/>
        <v/>
      </c>
      <c r="E1160" s="25" t="str">
        <f t="shared" si="166"/>
        <v/>
      </c>
      <c r="F1160" s="25" t="str">
        <f>IF($E1160="","",ROUND(MIN(Comparison!$E$5,MAX(0,$E1160+$H1159+$H1160-$M1159)),2))</f>
        <v/>
      </c>
      <c r="G1160" s="25" t="str">
        <f>IF($E1160="","",ROUND(MIN(Inputs!$B$10,MAX(0,$E1160+$H1159+$H1160-$M1159-$F1160)),2))</f>
        <v/>
      </c>
      <c r="H1160" s="25" t="str">
        <f>IF($E1160="","",ROUND(IF(Inputs!$B$12="Daily Simple Interest",$E1160*Inputs!$B$6/Inputs!$B$17*$D1160,$E1160*Inputs!$B$6/Inputs!$B$20),2))</f>
        <v/>
      </c>
      <c r="I1160" s="25" t="str">
        <f>IF($E1160="","",ROUND($L1160-$H1159-$H1160,2))</f>
        <v/>
      </c>
      <c r="J1160" s="25" t="str">
        <f>IF($E1160="","",IF($F1160+$G1160&gt;0,Inputs!$B$11,0))</f>
        <v/>
      </c>
      <c r="K1160" s="25" t="str">
        <f>IF($E1160="","",ROUND(MAX(0,$E1160-$I1160),2))</f>
        <v/>
      </c>
      <c r="L1160" s="25" t="str">
        <f>IF($E1160="","",$M1159+$F1160+$G1160)</f>
        <v/>
      </c>
      <c r="M1160" s="25" t="str">
        <f>IF($E1160="","",0)</f>
        <v/>
      </c>
      <c r="N1160" s="84" t="str">
        <f>IF($E1160="","",IF($K1160&lt;=0.005,"PAID OFF","POSTED"))</f>
        <v/>
      </c>
      <c r="O1160" s="23" t="str">
        <f t="shared" si="167"/>
        <v/>
      </c>
    </row>
    <row r="1161" spans="1:15" ht="20" customHeight="1">
      <c r="A1161" s="22" t="str">
        <f t="shared" si="164"/>
        <v/>
      </c>
      <c r="B1161" s="23" t="str">
        <f>IF($E1161="","",135)</f>
        <v/>
      </c>
      <c r="C1161" s="24" t="str">
        <f>IF($E1161="","",Inputs!$B$9+(134*Inputs!$B$21))</f>
        <v/>
      </c>
      <c r="D1161" s="23" t="str">
        <f t="shared" si="165"/>
        <v/>
      </c>
      <c r="E1161" s="25" t="str">
        <f t="shared" si="166"/>
        <v/>
      </c>
      <c r="F1161" s="25" t="str">
        <f>IF($E1161="","",ROUND(MIN(Comparison!$E$5,MAX(0,$E1161+$H1161)),2))</f>
        <v/>
      </c>
      <c r="G1161" s="25" t="str">
        <f>IF($E1161="","",ROUND(MIN(Inputs!$B$10,MAX(0,$E1161+$H1161-$F1161)),2))</f>
        <v/>
      </c>
      <c r="H1161" s="25" t="str">
        <f>IF($E1161="","",ROUND(IF(Inputs!$B$12="Daily Simple Interest",$E1161*Inputs!$B$6/Inputs!$B$17*$D1161,$E1161*Inputs!$B$6/Inputs!$B$20),2))</f>
        <v/>
      </c>
      <c r="I1161" s="25" t="str">
        <f>IF($E1161="","",0)</f>
        <v/>
      </c>
      <c r="J1161" s="25" t="str">
        <f>IF($E1161="","",IF($F1161+$G1161&gt;0,Inputs!$B$11,0))</f>
        <v/>
      </c>
      <c r="K1161" s="25" t="str">
        <f>IF($E1161="","",$E1161)</f>
        <v/>
      </c>
      <c r="L1161" s="25" t="str">
        <f>IF($E1161="","",0)</f>
        <v/>
      </c>
      <c r="M1161" s="25" t="str">
        <f>IF($E1161="","",$F1161+$G1161)</f>
        <v/>
      </c>
      <c r="N1161" s="84" t="str">
        <f>IF($E1161="","","HELD")</f>
        <v/>
      </c>
      <c r="O1161" s="23" t="str">
        <f t="shared" si="167"/>
        <v/>
      </c>
    </row>
    <row r="1162" spans="1:15" ht="20" customHeight="1">
      <c r="A1162" s="22" t="str">
        <f t="shared" si="164"/>
        <v/>
      </c>
      <c r="B1162" s="23" t="str">
        <f>IF($E1162="","",136)</f>
        <v/>
      </c>
      <c r="C1162" s="24" t="str">
        <f>IF($E1162="","",Inputs!$B$9+(135*Inputs!$B$21))</f>
        <v/>
      </c>
      <c r="D1162" s="23" t="str">
        <f t="shared" si="165"/>
        <v/>
      </c>
      <c r="E1162" s="25" t="str">
        <f t="shared" si="166"/>
        <v/>
      </c>
      <c r="F1162" s="25" t="str">
        <f>IF($E1162="","",ROUND(MIN(Comparison!$E$5,MAX(0,$E1162+$H1161+$H1162-$M1161)),2))</f>
        <v/>
      </c>
      <c r="G1162" s="25" t="str">
        <f>IF($E1162="","",ROUND(MIN(Inputs!$B$10,MAX(0,$E1162+$H1161+$H1162-$M1161-$F1162)),2))</f>
        <v/>
      </c>
      <c r="H1162" s="25" t="str">
        <f>IF($E1162="","",ROUND(IF(Inputs!$B$12="Daily Simple Interest",$E1162*Inputs!$B$6/Inputs!$B$17*$D1162,$E1162*Inputs!$B$6/Inputs!$B$20),2))</f>
        <v/>
      </c>
      <c r="I1162" s="25" t="str">
        <f>IF($E1162="","",ROUND($L1162-$H1161-$H1162,2))</f>
        <v/>
      </c>
      <c r="J1162" s="25" t="str">
        <f>IF($E1162="","",IF($F1162+$G1162&gt;0,Inputs!$B$11,0))</f>
        <v/>
      </c>
      <c r="K1162" s="25" t="str">
        <f>IF($E1162="","",ROUND(MAX(0,$E1162-$I1162),2))</f>
        <v/>
      </c>
      <c r="L1162" s="25" t="str">
        <f>IF($E1162="","",$M1161+$F1162+$G1162)</f>
        <v/>
      </c>
      <c r="M1162" s="25" t="str">
        <f>IF($E1162="","",0)</f>
        <v/>
      </c>
      <c r="N1162" s="84" t="str">
        <f>IF($E1162="","",IF($K1162&lt;=0.005,"PAID OFF","POSTED"))</f>
        <v/>
      </c>
      <c r="O1162" s="23" t="str">
        <f t="shared" si="167"/>
        <v/>
      </c>
    </row>
    <row r="1163" spans="1:15" ht="20" customHeight="1">
      <c r="A1163" s="22" t="str">
        <f t="shared" si="164"/>
        <v/>
      </c>
      <c r="B1163" s="23" t="str">
        <f>IF($E1163="","",137)</f>
        <v/>
      </c>
      <c r="C1163" s="24" t="str">
        <f>IF($E1163="","",Inputs!$B$9+(136*Inputs!$B$21))</f>
        <v/>
      </c>
      <c r="D1163" s="23" t="str">
        <f t="shared" si="165"/>
        <v/>
      </c>
      <c r="E1163" s="25" t="str">
        <f t="shared" si="166"/>
        <v/>
      </c>
      <c r="F1163" s="25" t="str">
        <f>IF($E1163="","",ROUND(MIN(Comparison!$E$5,MAX(0,$E1163+$H1163)),2))</f>
        <v/>
      </c>
      <c r="G1163" s="25" t="str">
        <f>IF($E1163="","",ROUND(MIN(Inputs!$B$10,MAX(0,$E1163+$H1163-$F1163)),2))</f>
        <v/>
      </c>
      <c r="H1163" s="25" t="str">
        <f>IF($E1163="","",ROUND(IF(Inputs!$B$12="Daily Simple Interest",$E1163*Inputs!$B$6/Inputs!$B$17*$D1163,$E1163*Inputs!$B$6/Inputs!$B$20),2))</f>
        <v/>
      </c>
      <c r="I1163" s="25" t="str">
        <f>IF($E1163="","",0)</f>
        <v/>
      </c>
      <c r="J1163" s="25" t="str">
        <f>IF($E1163="","",IF($F1163+$G1163&gt;0,Inputs!$B$11,0))</f>
        <v/>
      </c>
      <c r="K1163" s="25" t="str">
        <f>IF($E1163="","",$E1163)</f>
        <v/>
      </c>
      <c r="L1163" s="25" t="str">
        <f>IF($E1163="","",0)</f>
        <v/>
      </c>
      <c r="M1163" s="25" t="str">
        <f>IF($E1163="","",$F1163+$G1163)</f>
        <v/>
      </c>
      <c r="N1163" s="84" t="str">
        <f>IF($E1163="","","HELD")</f>
        <v/>
      </c>
      <c r="O1163" s="23" t="str">
        <f t="shared" si="167"/>
        <v/>
      </c>
    </row>
    <row r="1164" spans="1:15" ht="20" customHeight="1">
      <c r="A1164" s="22" t="str">
        <f t="shared" si="164"/>
        <v/>
      </c>
      <c r="B1164" s="23" t="str">
        <f>IF($E1164="","",138)</f>
        <v/>
      </c>
      <c r="C1164" s="24" t="str">
        <f>IF($E1164="","",Inputs!$B$9+(137*Inputs!$B$21))</f>
        <v/>
      </c>
      <c r="D1164" s="23" t="str">
        <f t="shared" si="165"/>
        <v/>
      </c>
      <c r="E1164" s="25" t="str">
        <f t="shared" si="166"/>
        <v/>
      </c>
      <c r="F1164" s="25" t="str">
        <f>IF($E1164="","",ROUND(MIN(Comparison!$E$5,MAX(0,$E1164+$H1163+$H1164-$M1163)),2))</f>
        <v/>
      </c>
      <c r="G1164" s="25" t="str">
        <f>IF($E1164="","",ROUND(MIN(Inputs!$B$10,MAX(0,$E1164+$H1163+$H1164-$M1163-$F1164)),2))</f>
        <v/>
      </c>
      <c r="H1164" s="25" t="str">
        <f>IF($E1164="","",ROUND(IF(Inputs!$B$12="Daily Simple Interest",$E1164*Inputs!$B$6/Inputs!$B$17*$D1164,$E1164*Inputs!$B$6/Inputs!$B$20),2))</f>
        <v/>
      </c>
      <c r="I1164" s="25" t="str">
        <f>IF($E1164="","",ROUND($L1164-$H1163-$H1164,2))</f>
        <v/>
      </c>
      <c r="J1164" s="25" t="str">
        <f>IF($E1164="","",IF($F1164+$G1164&gt;0,Inputs!$B$11,0))</f>
        <v/>
      </c>
      <c r="K1164" s="25" t="str">
        <f>IF($E1164="","",ROUND(MAX(0,$E1164-$I1164),2))</f>
        <v/>
      </c>
      <c r="L1164" s="25" t="str">
        <f>IF($E1164="","",$M1163+$F1164+$G1164)</f>
        <v/>
      </c>
      <c r="M1164" s="25" t="str">
        <f>IF($E1164="","",0)</f>
        <v/>
      </c>
      <c r="N1164" s="84" t="str">
        <f>IF($E1164="","",IF($K1164&lt;=0.005,"PAID OFF","POSTED"))</f>
        <v/>
      </c>
      <c r="O1164" s="23" t="str">
        <f t="shared" si="167"/>
        <v/>
      </c>
    </row>
    <row r="1165" spans="1:15" ht="20" customHeight="1">
      <c r="A1165" s="22" t="str">
        <f t="shared" si="164"/>
        <v/>
      </c>
      <c r="B1165" s="23" t="str">
        <f>IF($E1165="","",139)</f>
        <v/>
      </c>
      <c r="C1165" s="24" t="str">
        <f>IF($E1165="","",Inputs!$B$9+(138*Inputs!$B$21))</f>
        <v/>
      </c>
      <c r="D1165" s="23" t="str">
        <f t="shared" si="165"/>
        <v/>
      </c>
      <c r="E1165" s="25" t="str">
        <f t="shared" si="166"/>
        <v/>
      </c>
      <c r="F1165" s="25" t="str">
        <f>IF($E1165="","",ROUND(MIN(Comparison!$E$5,MAX(0,$E1165+$H1165)),2))</f>
        <v/>
      </c>
      <c r="G1165" s="25" t="str">
        <f>IF($E1165="","",ROUND(MIN(Inputs!$B$10,MAX(0,$E1165+$H1165-$F1165)),2))</f>
        <v/>
      </c>
      <c r="H1165" s="25" t="str">
        <f>IF($E1165="","",ROUND(IF(Inputs!$B$12="Daily Simple Interest",$E1165*Inputs!$B$6/Inputs!$B$17*$D1165,$E1165*Inputs!$B$6/Inputs!$B$20),2))</f>
        <v/>
      </c>
      <c r="I1165" s="25" t="str">
        <f>IF($E1165="","",0)</f>
        <v/>
      </c>
      <c r="J1165" s="25" t="str">
        <f>IF($E1165="","",IF($F1165+$G1165&gt;0,Inputs!$B$11,0))</f>
        <v/>
      </c>
      <c r="K1165" s="25" t="str">
        <f>IF($E1165="","",$E1165)</f>
        <v/>
      </c>
      <c r="L1165" s="25" t="str">
        <f>IF($E1165="","",0)</f>
        <v/>
      </c>
      <c r="M1165" s="25" t="str">
        <f>IF($E1165="","",$F1165+$G1165)</f>
        <v/>
      </c>
      <c r="N1165" s="84" t="str">
        <f>IF($E1165="","","HELD")</f>
        <v/>
      </c>
      <c r="O1165" s="23" t="str">
        <f t="shared" si="167"/>
        <v/>
      </c>
    </row>
    <row r="1166" spans="1:15" ht="20" customHeight="1">
      <c r="A1166" s="22" t="str">
        <f t="shared" si="164"/>
        <v/>
      </c>
      <c r="B1166" s="23" t="str">
        <f>IF($E1166="","",140)</f>
        <v/>
      </c>
      <c r="C1166" s="24" t="str">
        <f>IF($E1166="","",Inputs!$B$9+(139*Inputs!$B$21))</f>
        <v/>
      </c>
      <c r="D1166" s="23" t="str">
        <f t="shared" si="165"/>
        <v/>
      </c>
      <c r="E1166" s="25" t="str">
        <f t="shared" si="166"/>
        <v/>
      </c>
      <c r="F1166" s="25" t="str">
        <f>IF($E1166="","",ROUND(MIN(Comparison!$E$5,MAX(0,$E1166+$H1165+$H1166-$M1165)),2))</f>
        <v/>
      </c>
      <c r="G1166" s="25" t="str">
        <f>IF($E1166="","",ROUND(MIN(Inputs!$B$10,MAX(0,$E1166+$H1165+$H1166-$M1165-$F1166)),2))</f>
        <v/>
      </c>
      <c r="H1166" s="25" t="str">
        <f>IF($E1166="","",ROUND(IF(Inputs!$B$12="Daily Simple Interest",$E1166*Inputs!$B$6/Inputs!$B$17*$D1166,$E1166*Inputs!$B$6/Inputs!$B$20),2))</f>
        <v/>
      </c>
      <c r="I1166" s="25" t="str">
        <f>IF($E1166="","",ROUND($L1166-$H1165-$H1166,2))</f>
        <v/>
      </c>
      <c r="J1166" s="25" t="str">
        <f>IF($E1166="","",IF($F1166+$G1166&gt;0,Inputs!$B$11,0))</f>
        <v/>
      </c>
      <c r="K1166" s="25" t="str">
        <f>IF($E1166="","",ROUND(MAX(0,$E1166-$I1166),2))</f>
        <v/>
      </c>
      <c r="L1166" s="25" t="str">
        <f>IF($E1166="","",$M1165+$F1166+$G1166)</f>
        <v/>
      </c>
      <c r="M1166" s="25" t="str">
        <f>IF($E1166="","",0)</f>
        <v/>
      </c>
      <c r="N1166" s="84" t="str">
        <f>IF($E1166="","",IF($K1166&lt;=0.005,"PAID OFF","POSTED"))</f>
        <v/>
      </c>
      <c r="O1166" s="23" t="str">
        <f t="shared" si="167"/>
        <v/>
      </c>
    </row>
    <row r="1167" spans="1:15" ht="20" customHeight="1">
      <c r="A1167" s="22" t="str">
        <f t="shared" si="164"/>
        <v/>
      </c>
      <c r="B1167" s="23" t="str">
        <f>IF($E1167="","",141)</f>
        <v/>
      </c>
      <c r="C1167" s="24" t="str">
        <f>IF($E1167="","",Inputs!$B$9+(140*Inputs!$B$21))</f>
        <v/>
      </c>
      <c r="D1167" s="23" t="str">
        <f t="shared" si="165"/>
        <v/>
      </c>
      <c r="E1167" s="25" t="str">
        <f t="shared" si="166"/>
        <v/>
      </c>
      <c r="F1167" s="25" t="str">
        <f>IF($E1167="","",ROUND(MIN(Comparison!$E$5,MAX(0,$E1167+$H1167)),2))</f>
        <v/>
      </c>
      <c r="G1167" s="25" t="str">
        <f>IF($E1167="","",ROUND(MIN(Inputs!$B$10,MAX(0,$E1167+$H1167-$F1167)),2))</f>
        <v/>
      </c>
      <c r="H1167" s="25" t="str">
        <f>IF($E1167="","",ROUND(IF(Inputs!$B$12="Daily Simple Interest",$E1167*Inputs!$B$6/Inputs!$B$17*$D1167,$E1167*Inputs!$B$6/Inputs!$B$20),2))</f>
        <v/>
      </c>
      <c r="I1167" s="25" t="str">
        <f>IF($E1167="","",0)</f>
        <v/>
      </c>
      <c r="J1167" s="25" t="str">
        <f>IF($E1167="","",IF($F1167+$G1167&gt;0,Inputs!$B$11,0))</f>
        <v/>
      </c>
      <c r="K1167" s="25" t="str">
        <f>IF($E1167="","",$E1167)</f>
        <v/>
      </c>
      <c r="L1167" s="25" t="str">
        <f>IF($E1167="","",0)</f>
        <v/>
      </c>
      <c r="M1167" s="25" t="str">
        <f>IF($E1167="","",$F1167+$G1167)</f>
        <v/>
      </c>
      <c r="N1167" s="84" t="str">
        <f>IF($E1167="","","HELD")</f>
        <v/>
      </c>
      <c r="O1167" s="23" t="str">
        <f t="shared" si="167"/>
        <v/>
      </c>
    </row>
    <row r="1168" spans="1:15" ht="20" customHeight="1">
      <c r="A1168" s="22" t="str">
        <f t="shared" si="164"/>
        <v/>
      </c>
      <c r="B1168" s="23" t="str">
        <f>IF($E1168="","",142)</f>
        <v/>
      </c>
      <c r="C1168" s="24" t="str">
        <f>IF($E1168="","",Inputs!$B$9+(141*Inputs!$B$21))</f>
        <v/>
      </c>
      <c r="D1168" s="23" t="str">
        <f t="shared" si="165"/>
        <v/>
      </c>
      <c r="E1168" s="25" t="str">
        <f t="shared" si="166"/>
        <v/>
      </c>
      <c r="F1168" s="25" t="str">
        <f>IF($E1168="","",ROUND(MIN(Comparison!$E$5,MAX(0,$E1168+$H1167+$H1168-$M1167)),2))</f>
        <v/>
      </c>
      <c r="G1168" s="25" t="str">
        <f>IF($E1168="","",ROUND(MIN(Inputs!$B$10,MAX(0,$E1168+$H1167+$H1168-$M1167-$F1168)),2))</f>
        <v/>
      </c>
      <c r="H1168" s="25" t="str">
        <f>IF($E1168="","",ROUND(IF(Inputs!$B$12="Daily Simple Interest",$E1168*Inputs!$B$6/Inputs!$B$17*$D1168,$E1168*Inputs!$B$6/Inputs!$B$20),2))</f>
        <v/>
      </c>
      <c r="I1168" s="25" t="str">
        <f>IF($E1168="","",ROUND($L1168-$H1167-$H1168,2))</f>
        <v/>
      </c>
      <c r="J1168" s="25" t="str">
        <f>IF($E1168="","",IF($F1168+$G1168&gt;0,Inputs!$B$11,0))</f>
        <v/>
      </c>
      <c r="K1168" s="25" t="str">
        <f>IF($E1168="","",ROUND(MAX(0,$E1168-$I1168),2))</f>
        <v/>
      </c>
      <c r="L1168" s="25" t="str">
        <f>IF($E1168="","",$M1167+$F1168+$G1168)</f>
        <v/>
      </c>
      <c r="M1168" s="25" t="str">
        <f>IF($E1168="","",0)</f>
        <v/>
      </c>
      <c r="N1168" s="84" t="str">
        <f>IF($E1168="","",IF($K1168&lt;=0.005,"PAID OFF","POSTED"))</f>
        <v/>
      </c>
      <c r="O1168" s="23" t="str">
        <f t="shared" si="167"/>
        <v/>
      </c>
    </row>
    <row r="1169" spans="1:15" ht="20" customHeight="1">
      <c r="A1169" s="22" t="str">
        <f t="shared" si="164"/>
        <v/>
      </c>
      <c r="B1169" s="23" t="str">
        <f>IF($E1169="","",143)</f>
        <v/>
      </c>
      <c r="C1169" s="24" t="str">
        <f>IF($E1169="","",Inputs!$B$9+(142*Inputs!$B$21))</f>
        <v/>
      </c>
      <c r="D1169" s="23" t="str">
        <f t="shared" si="165"/>
        <v/>
      </c>
      <c r="E1169" s="25" t="str">
        <f t="shared" si="166"/>
        <v/>
      </c>
      <c r="F1169" s="25" t="str">
        <f>IF($E1169="","",ROUND(MIN(Comparison!$E$5,MAX(0,$E1169+$H1169)),2))</f>
        <v/>
      </c>
      <c r="G1169" s="25" t="str">
        <f>IF($E1169="","",ROUND(MIN(Inputs!$B$10,MAX(0,$E1169+$H1169-$F1169)),2))</f>
        <v/>
      </c>
      <c r="H1169" s="25" t="str">
        <f>IF($E1169="","",ROUND(IF(Inputs!$B$12="Daily Simple Interest",$E1169*Inputs!$B$6/Inputs!$B$17*$D1169,$E1169*Inputs!$B$6/Inputs!$B$20),2))</f>
        <v/>
      </c>
      <c r="I1169" s="25" t="str">
        <f>IF($E1169="","",0)</f>
        <v/>
      </c>
      <c r="J1169" s="25" t="str">
        <f>IF($E1169="","",IF($F1169+$G1169&gt;0,Inputs!$B$11,0))</f>
        <v/>
      </c>
      <c r="K1169" s="25" t="str">
        <f>IF($E1169="","",$E1169)</f>
        <v/>
      </c>
      <c r="L1169" s="25" t="str">
        <f>IF($E1169="","",0)</f>
        <v/>
      </c>
      <c r="M1169" s="25" t="str">
        <f>IF($E1169="","",$F1169+$G1169)</f>
        <v/>
      </c>
      <c r="N1169" s="84" t="str">
        <f>IF($E1169="","","HELD")</f>
        <v/>
      </c>
      <c r="O1169" s="23" t="str">
        <f t="shared" si="167"/>
        <v/>
      </c>
    </row>
    <row r="1170" spans="1:15" ht="20" customHeight="1">
      <c r="A1170" s="22" t="str">
        <f t="shared" si="164"/>
        <v/>
      </c>
      <c r="B1170" s="23" t="str">
        <f>IF($E1170="","",144)</f>
        <v/>
      </c>
      <c r="C1170" s="24" t="str">
        <f>IF($E1170="","",Inputs!$B$9+(143*Inputs!$B$21))</f>
        <v/>
      </c>
      <c r="D1170" s="23" t="str">
        <f t="shared" si="165"/>
        <v/>
      </c>
      <c r="E1170" s="25" t="str">
        <f t="shared" si="166"/>
        <v/>
      </c>
      <c r="F1170" s="25" t="str">
        <f>IF($E1170="","",ROUND(MIN(Comparison!$E$5,MAX(0,$E1170+$H1169+$H1170-$M1169)),2))</f>
        <v/>
      </c>
      <c r="G1170" s="25" t="str">
        <f>IF($E1170="","",ROUND(MIN(Inputs!$B$10,MAX(0,$E1170+$H1169+$H1170-$M1169-$F1170)),2))</f>
        <v/>
      </c>
      <c r="H1170" s="25" t="str">
        <f>IF($E1170="","",ROUND(IF(Inputs!$B$12="Daily Simple Interest",$E1170*Inputs!$B$6/Inputs!$B$17*$D1170,$E1170*Inputs!$B$6/Inputs!$B$20),2))</f>
        <v/>
      </c>
      <c r="I1170" s="25" t="str">
        <f>IF($E1170="","",ROUND($L1170-$H1169-$H1170,2))</f>
        <v/>
      </c>
      <c r="J1170" s="25" t="str">
        <f>IF($E1170="","",IF($F1170+$G1170&gt;0,Inputs!$B$11,0))</f>
        <v/>
      </c>
      <c r="K1170" s="25" t="str">
        <f>IF($E1170="","",ROUND(MAX(0,$E1170-$I1170),2))</f>
        <v/>
      </c>
      <c r="L1170" s="25" t="str">
        <f>IF($E1170="","",$M1169+$F1170+$G1170)</f>
        <v/>
      </c>
      <c r="M1170" s="25" t="str">
        <f>IF($E1170="","",0)</f>
        <v/>
      </c>
      <c r="N1170" s="84" t="str">
        <f>IF($E1170="","",IF($K1170&lt;=0.005,"PAID OFF","POSTED"))</f>
        <v/>
      </c>
      <c r="O1170" s="23" t="str">
        <f t="shared" si="167"/>
        <v/>
      </c>
    </row>
    <row r="1171" spans="1:15" ht="20" customHeight="1">
      <c r="A1171" s="22" t="str">
        <f t="shared" si="164"/>
        <v/>
      </c>
      <c r="B1171" s="23" t="str">
        <f>IF($E1171="","",145)</f>
        <v/>
      </c>
      <c r="C1171" s="24" t="str">
        <f>IF($E1171="","",Inputs!$B$9+(144*Inputs!$B$21))</f>
        <v/>
      </c>
      <c r="D1171" s="23" t="str">
        <f t="shared" si="165"/>
        <v/>
      </c>
      <c r="E1171" s="25" t="str">
        <f t="shared" si="166"/>
        <v/>
      </c>
      <c r="F1171" s="25" t="str">
        <f>IF($E1171="","",ROUND(MIN(Comparison!$E$5,MAX(0,$E1171+$H1171)),2))</f>
        <v/>
      </c>
      <c r="G1171" s="25" t="str">
        <f>IF($E1171="","",ROUND(MIN(Inputs!$B$10,MAX(0,$E1171+$H1171-$F1171)),2))</f>
        <v/>
      </c>
      <c r="H1171" s="25" t="str">
        <f>IF($E1171="","",ROUND(IF(Inputs!$B$12="Daily Simple Interest",$E1171*Inputs!$B$6/Inputs!$B$17*$D1171,$E1171*Inputs!$B$6/Inputs!$B$20),2))</f>
        <v/>
      </c>
      <c r="I1171" s="25" t="str">
        <f>IF($E1171="","",0)</f>
        <v/>
      </c>
      <c r="J1171" s="25" t="str">
        <f>IF($E1171="","",IF($F1171+$G1171&gt;0,Inputs!$B$11,0))</f>
        <v/>
      </c>
      <c r="K1171" s="25" t="str">
        <f>IF($E1171="","",$E1171)</f>
        <v/>
      </c>
      <c r="L1171" s="25" t="str">
        <f>IF($E1171="","",0)</f>
        <v/>
      </c>
      <c r="M1171" s="25" t="str">
        <f>IF($E1171="","",$F1171+$G1171)</f>
        <v/>
      </c>
      <c r="N1171" s="84" t="str">
        <f>IF($E1171="","","HELD")</f>
        <v/>
      </c>
      <c r="O1171" s="23" t="str">
        <f t="shared" si="167"/>
        <v/>
      </c>
    </row>
    <row r="1172" spans="1:15" ht="20" customHeight="1">
      <c r="A1172" s="22" t="str">
        <f t="shared" si="164"/>
        <v/>
      </c>
      <c r="B1172" s="23" t="str">
        <f>IF($E1172="","",146)</f>
        <v/>
      </c>
      <c r="C1172" s="24" t="str">
        <f>IF($E1172="","",Inputs!$B$9+(145*Inputs!$B$21))</f>
        <v/>
      </c>
      <c r="D1172" s="23" t="str">
        <f t="shared" si="165"/>
        <v/>
      </c>
      <c r="E1172" s="25" t="str">
        <f t="shared" si="166"/>
        <v/>
      </c>
      <c r="F1172" s="25" t="str">
        <f>IF($E1172="","",ROUND(MIN(Comparison!$E$5,MAX(0,$E1172+$H1171+$H1172-$M1171)),2))</f>
        <v/>
      </c>
      <c r="G1172" s="25" t="str">
        <f>IF($E1172="","",ROUND(MIN(Inputs!$B$10,MAX(0,$E1172+$H1171+$H1172-$M1171-$F1172)),2))</f>
        <v/>
      </c>
      <c r="H1172" s="25" t="str">
        <f>IF($E1172="","",ROUND(IF(Inputs!$B$12="Daily Simple Interest",$E1172*Inputs!$B$6/Inputs!$B$17*$D1172,$E1172*Inputs!$B$6/Inputs!$B$20),2))</f>
        <v/>
      </c>
      <c r="I1172" s="25" t="str">
        <f>IF($E1172="","",ROUND($L1172-$H1171-$H1172,2))</f>
        <v/>
      </c>
      <c r="J1172" s="25" t="str">
        <f>IF($E1172="","",IF($F1172+$G1172&gt;0,Inputs!$B$11,0))</f>
        <v/>
      </c>
      <c r="K1172" s="25" t="str">
        <f>IF($E1172="","",ROUND(MAX(0,$E1172-$I1172),2))</f>
        <v/>
      </c>
      <c r="L1172" s="25" t="str">
        <f>IF($E1172="","",$M1171+$F1172+$G1172)</f>
        <v/>
      </c>
      <c r="M1172" s="25" t="str">
        <f>IF($E1172="","",0)</f>
        <v/>
      </c>
      <c r="N1172" s="84" t="str">
        <f>IF($E1172="","",IF($K1172&lt;=0.005,"PAID OFF","POSTED"))</f>
        <v/>
      </c>
      <c r="O1172" s="23" t="str">
        <f t="shared" si="167"/>
        <v/>
      </c>
    </row>
    <row r="1173" spans="1:15" ht="20" customHeight="1">
      <c r="A1173" s="22" t="str">
        <f t="shared" si="164"/>
        <v/>
      </c>
      <c r="B1173" s="23" t="str">
        <f>IF($E1173="","",147)</f>
        <v/>
      </c>
      <c r="C1173" s="24" t="str">
        <f>IF($E1173="","",Inputs!$B$9+(146*Inputs!$B$21))</f>
        <v/>
      </c>
      <c r="D1173" s="23" t="str">
        <f t="shared" si="165"/>
        <v/>
      </c>
      <c r="E1173" s="25" t="str">
        <f t="shared" si="166"/>
        <v/>
      </c>
      <c r="F1173" s="25" t="str">
        <f>IF($E1173="","",ROUND(MIN(Comparison!$E$5,MAX(0,$E1173+$H1173)),2))</f>
        <v/>
      </c>
      <c r="G1173" s="25" t="str">
        <f>IF($E1173="","",ROUND(MIN(Inputs!$B$10,MAX(0,$E1173+$H1173-$F1173)),2))</f>
        <v/>
      </c>
      <c r="H1173" s="25" t="str">
        <f>IF($E1173="","",ROUND(IF(Inputs!$B$12="Daily Simple Interest",$E1173*Inputs!$B$6/Inputs!$B$17*$D1173,$E1173*Inputs!$B$6/Inputs!$B$20),2))</f>
        <v/>
      </c>
      <c r="I1173" s="25" t="str">
        <f>IF($E1173="","",0)</f>
        <v/>
      </c>
      <c r="J1173" s="25" t="str">
        <f>IF($E1173="","",IF($F1173+$G1173&gt;0,Inputs!$B$11,0))</f>
        <v/>
      </c>
      <c r="K1173" s="25" t="str">
        <f>IF($E1173="","",$E1173)</f>
        <v/>
      </c>
      <c r="L1173" s="25" t="str">
        <f>IF($E1173="","",0)</f>
        <v/>
      </c>
      <c r="M1173" s="25" t="str">
        <f>IF($E1173="","",$F1173+$G1173)</f>
        <v/>
      </c>
      <c r="N1173" s="84" t="str">
        <f>IF($E1173="","","HELD")</f>
        <v/>
      </c>
      <c r="O1173" s="23" t="str">
        <f t="shared" si="167"/>
        <v/>
      </c>
    </row>
    <row r="1174" spans="1:15" ht="20" customHeight="1">
      <c r="A1174" s="22" t="str">
        <f t="shared" si="164"/>
        <v/>
      </c>
      <c r="B1174" s="23" t="str">
        <f>IF($E1174="","",148)</f>
        <v/>
      </c>
      <c r="C1174" s="24" t="str">
        <f>IF($E1174="","",Inputs!$B$9+(147*Inputs!$B$21))</f>
        <v/>
      </c>
      <c r="D1174" s="23" t="str">
        <f t="shared" si="165"/>
        <v/>
      </c>
      <c r="E1174" s="25" t="str">
        <f t="shared" si="166"/>
        <v/>
      </c>
      <c r="F1174" s="25" t="str">
        <f>IF($E1174="","",ROUND(MIN(Comparison!$E$5,MAX(0,$E1174+$H1173+$H1174-$M1173)),2))</f>
        <v/>
      </c>
      <c r="G1174" s="25" t="str">
        <f>IF($E1174="","",ROUND(MIN(Inputs!$B$10,MAX(0,$E1174+$H1173+$H1174-$M1173-$F1174)),2))</f>
        <v/>
      </c>
      <c r="H1174" s="25" t="str">
        <f>IF($E1174="","",ROUND(IF(Inputs!$B$12="Daily Simple Interest",$E1174*Inputs!$B$6/Inputs!$B$17*$D1174,$E1174*Inputs!$B$6/Inputs!$B$20),2))</f>
        <v/>
      </c>
      <c r="I1174" s="25" t="str">
        <f>IF($E1174="","",ROUND($L1174-$H1173-$H1174,2))</f>
        <v/>
      </c>
      <c r="J1174" s="25" t="str">
        <f>IF($E1174="","",IF($F1174+$G1174&gt;0,Inputs!$B$11,0))</f>
        <v/>
      </c>
      <c r="K1174" s="25" t="str">
        <f>IF($E1174="","",ROUND(MAX(0,$E1174-$I1174),2))</f>
        <v/>
      </c>
      <c r="L1174" s="25" t="str">
        <f>IF($E1174="","",$M1173+$F1174+$G1174)</f>
        <v/>
      </c>
      <c r="M1174" s="25" t="str">
        <f>IF($E1174="","",0)</f>
        <v/>
      </c>
      <c r="N1174" s="84" t="str">
        <f>IF($E1174="","",IF($K1174&lt;=0.005,"PAID OFF","POSTED"))</f>
        <v/>
      </c>
      <c r="O1174" s="23" t="str">
        <f t="shared" si="167"/>
        <v/>
      </c>
    </row>
    <row r="1175" spans="1:15" ht="20" customHeight="1">
      <c r="A1175" s="22" t="str">
        <f t="shared" si="164"/>
        <v/>
      </c>
      <c r="B1175" s="23" t="str">
        <f>IF($E1175="","",149)</f>
        <v/>
      </c>
      <c r="C1175" s="24" t="str">
        <f>IF($E1175="","",Inputs!$B$9+(148*Inputs!$B$21))</f>
        <v/>
      </c>
      <c r="D1175" s="23" t="str">
        <f t="shared" si="165"/>
        <v/>
      </c>
      <c r="E1175" s="25" t="str">
        <f t="shared" si="166"/>
        <v/>
      </c>
      <c r="F1175" s="25" t="str">
        <f>IF($E1175="","",ROUND(MIN(Comparison!$E$5,MAX(0,$E1175+$H1175)),2))</f>
        <v/>
      </c>
      <c r="G1175" s="25" t="str">
        <f>IF($E1175="","",ROUND(MIN(Inputs!$B$10,MAX(0,$E1175+$H1175-$F1175)),2))</f>
        <v/>
      </c>
      <c r="H1175" s="25" t="str">
        <f>IF($E1175="","",ROUND(IF(Inputs!$B$12="Daily Simple Interest",$E1175*Inputs!$B$6/Inputs!$B$17*$D1175,$E1175*Inputs!$B$6/Inputs!$B$20),2))</f>
        <v/>
      </c>
      <c r="I1175" s="25" t="str">
        <f>IF($E1175="","",0)</f>
        <v/>
      </c>
      <c r="J1175" s="25" t="str">
        <f>IF($E1175="","",IF($F1175+$G1175&gt;0,Inputs!$B$11,0))</f>
        <v/>
      </c>
      <c r="K1175" s="25" t="str">
        <f>IF($E1175="","",$E1175)</f>
        <v/>
      </c>
      <c r="L1175" s="25" t="str">
        <f>IF($E1175="","",0)</f>
        <v/>
      </c>
      <c r="M1175" s="25" t="str">
        <f>IF($E1175="","",$F1175+$G1175)</f>
        <v/>
      </c>
      <c r="N1175" s="84" t="str">
        <f>IF($E1175="","","HELD")</f>
        <v/>
      </c>
      <c r="O1175" s="23" t="str">
        <f t="shared" si="167"/>
        <v/>
      </c>
    </row>
    <row r="1176" spans="1:15" ht="20" customHeight="1">
      <c r="A1176" s="22" t="str">
        <f t="shared" si="164"/>
        <v/>
      </c>
      <c r="B1176" s="23" t="str">
        <f>IF($E1176="","",150)</f>
        <v/>
      </c>
      <c r="C1176" s="24" t="str">
        <f>IF($E1176="","",Inputs!$B$9+(149*Inputs!$B$21))</f>
        <v/>
      </c>
      <c r="D1176" s="23" t="str">
        <f t="shared" si="165"/>
        <v/>
      </c>
      <c r="E1176" s="25" t="str">
        <f t="shared" si="166"/>
        <v/>
      </c>
      <c r="F1176" s="25" t="str">
        <f>IF($E1176="","",ROUND(MIN(Comparison!$E$5,MAX(0,$E1176+$H1175+$H1176-$M1175)),2))</f>
        <v/>
      </c>
      <c r="G1176" s="25" t="str">
        <f>IF($E1176="","",ROUND(MIN(Inputs!$B$10,MAX(0,$E1176+$H1175+$H1176-$M1175-$F1176)),2))</f>
        <v/>
      </c>
      <c r="H1176" s="25" t="str">
        <f>IF($E1176="","",ROUND(IF(Inputs!$B$12="Daily Simple Interest",$E1176*Inputs!$B$6/Inputs!$B$17*$D1176,$E1176*Inputs!$B$6/Inputs!$B$20),2))</f>
        <v/>
      </c>
      <c r="I1176" s="25" t="str">
        <f>IF($E1176="","",ROUND($L1176-$H1175-$H1176,2))</f>
        <v/>
      </c>
      <c r="J1176" s="25" t="str">
        <f>IF($E1176="","",IF($F1176+$G1176&gt;0,Inputs!$B$11,0))</f>
        <v/>
      </c>
      <c r="K1176" s="25" t="str">
        <f>IF($E1176="","",ROUND(MAX(0,$E1176-$I1176),2))</f>
        <v/>
      </c>
      <c r="L1176" s="25" t="str">
        <f>IF($E1176="","",$M1175+$F1176+$G1176)</f>
        <v/>
      </c>
      <c r="M1176" s="25" t="str">
        <f>IF($E1176="","",0)</f>
        <v/>
      </c>
      <c r="N1176" s="84" t="str">
        <f>IF($E1176="","",IF($K1176&lt;=0.005,"PAID OFF","POSTED"))</f>
        <v/>
      </c>
      <c r="O1176" s="23" t="str">
        <f t="shared" si="167"/>
        <v/>
      </c>
    </row>
    <row r="1177" spans="1:15" ht="20" customHeight="1">
      <c r="A1177" s="22" t="str">
        <f t="shared" si="164"/>
        <v/>
      </c>
      <c r="B1177" s="23" t="str">
        <f>IF($E1177="","",151)</f>
        <v/>
      </c>
      <c r="C1177" s="24" t="str">
        <f>IF($E1177="","",Inputs!$B$9+(150*Inputs!$B$21))</f>
        <v/>
      </c>
      <c r="D1177" s="23" t="str">
        <f t="shared" si="165"/>
        <v/>
      </c>
      <c r="E1177" s="25" t="str">
        <f t="shared" si="166"/>
        <v/>
      </c>
      <c r="F1177" s="25" t="str">
        <f>IF($E1177="","",ROUND(MIN(Comparison!$E$5,MAX(0,$E1177+$H1177)),2))</f>
        <v/>
      </c>
      <c r="G1177" s="25" t="str">
        <f>IF($E1177="","",ROUND(MIN(Inputs!$B$10,MAX(0,$E1177+$H1177-$F1177)),2))</f>
        <v/>
      </c>
      <c r="H1177" s="25" t="str">
        <f>IF($E1177="","",ROUND(IF(Inputs!$B$12="Daily Simple Interest",$E1177*Inputs!$B$6/Inputs!$B$17*$D1177,$E1177*Inputs!$B$6/Inputs!$B$20),2))</f>
        <v/>
      </c>
      <c r="I1177" s="25" t="str">
        <f>IF($E1177="","",0)</f>
        <v/>
      </c>
      <c r="J1177" s="25" t="str">
        <f>IF($E1177="","",IF($F1177+$G1177&gt;0,Inputs!$B$11,0))</f>
        <v/>
      </c>
      <c r="K1177" s="25" t="str">
        <f>IF($E1177="","",$E1177)</f>
        <v/>
      </c>
      <c r="L1177" s="25" t="str">
        <f>IF($E1177="","",0)</f>
        <v/>
      </c>
      <c r="M1177" s="25" t="str">
        <f>IF($E1177="","",$F1177+$G1177)</f>
        <v/>
      </c>
      <c r="N1177" s="84" t="str">
        <f>IF($E1177="","","HELD")</f>
        <v/>
      </c>
      <c r="O1177" s="23" t="str">
        <f t="shared" si="167"/>
        <v/>
      </c>
    </row>
    <row r="1178" spans="1:15" ht="20" customHeight="1">
      <c r="A1178" s="22" t="str">
        <f t="shared" si="164"/>
        <v/>
      </c>
      <c r="B1178" s="23" t="str">
        <f>IF($E1178="","",152)</f>
        <v/>
      </c>
      <c r="C1178" s="24" t="str">
        <f>IF($E1178="","",Inputs!$B$9+(151*Inputs!$B$21))</f>
        <v/>
      </c>
      <c r="D1178" s="23" t="str">
        <f t="shared" si="165"/>
        <v/>
      </c>
      <c r="E1178" s="25" t="str">
        <f t="shared" si="166"/>
        <v/>
      </c>
      <c r="F1178" s="25" t="str">
        <f>IF($E1178="","",ROUND(MIN(Comparison!$E$5,MAX(0,$E1178+$H1177+$H1178-$M1177)),2))</f>
        <v/>
      </c>
      <c r="G1178" s="25" t="str">
        <f>IF($E1178="","",ROUND(MIN(Inputs!$B$10,MAX(0,$E1178+$H1177+$H1178-$M1177-$F1178)),2))</f>
        <v/>
      </c>
      <c r="H1178" s="25" t="str">
        <f>IF($E1178="","",ROUND(IF(Inputs!$B$12="Daily Simple Interest",$E1178*Inputs!$B$6/Inputs!$B$17*$D1178,$E1178*Inputs!$B$6/Inputs!$B$20),2))</f>
        <v/>
      </c>
      <c r="I1178" s="25" t="str">
        <f>IF($E1178="","",ROUND($L1178-$H1177-$H1178,2))</f>
        <v/>
      </c>
      <c r="J1178" s="25" t="str">
        <f>IF($E1178="","",IF($F1178+$G1178&gt;0,Inputs!$B$11,0))</f>
        <v/>
      </c>
      <c r="K1178" s="25" t="str">
        <f>IF($E1178="","",ROUND(MAX(0,$E1178-$I1178),2))</f>
        <v/>
      </c>
      <c r="L1178" s="25" t="str">
        <f>IF($E1178="","",$M1177+$F1178+$G1178)</f>
        <v/>
      </c>
      <c r="M1178" s="25" t="str">
        <f>IF($E1178="","",0)</f>
        <v/>
      </c>
      <c r="N1178" s="84" t="str">
        <f>IF($E1178="","",IF($K1178&lt;=0.005,"PAID OFF","POSTED"))</f>
        <v/>
      </c>
      <c r="O1178" s="23" t="str">
        <f t="shared" si="167"/>
        <v/>
      </c>
    </row>
    <row r="1179" spans="1:15" ht="20" customHeight="1">
      <c r="A1179" s="22" t="str">
        <f t="shared" si="164"/>
        <v/>
      </c>
      <c r="B1179" s="23" t="str">
        <f>IF($E1179="","",153)</f>
        <v/>
      </c>
      <c r="C1179" s="24" t="str">
        <f>IF($E1179="","",Inputs!$B$9+(152*Inputs!$B$21))</f>
        <v/>
      </c>
      <c r="D1179" s="23" t="str">
        <f t="shared" si="165"/>
        <v/>
      </c>
      <c r="E1179" s="25" t="str">
        <f t="shared" si="166"/>
        <v/>
      </c>
      <c r="F1179" s="25" t="str">
        <f>IF($E1179="","",ROUND(MIN(Comparison!$E$5,MAX(0,$E1179+$H1179)),2))</f>
        <v/>
      </c>
      <c r="G1179" s="25" t="str">
        <f>IF($E1179="","",ROUND(MIN(Inputs!$B$10,MAX(0,$E1179+$H1179-$F1179)),2))</f>
        <v/>
      </c>
      <c r="H1179" s="25" t="str">
        <f>IF($E1179="","",ROUND(IF(Inputs!$B$12="Daily Simple Interest",$E1179*Inputs!$B$6/Inputs!$B$17*$D1179,$E1179*Inputs!$B$6/Inputs!$B$20),2))</f>
        <v/>
      </c>
      <c r="I1179" s="25" t="str">
        <f>IF($E1179="","",0)</f>
        <v/>
      </c>
      <c r="J1179" s="25" t="str">
        <f>IF($E1179="","",IF($F1179+$G1179&gt;0,Inputs!$B$11,0))</f>
        <v/>
      </c>
      <c r="K1179" s="25" t="str">
        <f>IF($E1179="","",$E1179)</f>
        <v/>
      </c>
      <c r="L1179" s="25" t="str">
        <f>IF($E1179="","",0)</f>
        <v/>
      </c>
      <c r="M1179" s="25" t="str">
        <f>IF($E1179="","",$F1179+$G1179)</f>
        <v/>
      </c>
      <c r="N1179" s="84" t="str">
        <f>IF($E1179="","","HELD")</f>
        <v/>
      </c>
      <c r="O1179" s="23" t="str">
        <f t="shared" si="167"/>
        <v/>
      </c>
    </row>
    <row r="1180" spans="1:15" ht="20" customHeight="1">
      <c r="A1180" s="22" t="str">
        <f t="shared" si="164"/>
        <v/>
      </c>
      <c r="B1180" s="23" t="str">
        <f>IF($E1180="","",154)</f>
        <v/>
      </c>
      <c r="C1180" s="24" t="str">
        <f>IF($E1180="","",Inputs!$B$9+(153*Inputs!$B$21))</f>
        <v/>
      </c>
      <c r="D1180" s="23" t="str">
        <f t="shared" si="165"/>
        <v/>
      </c>
      <c r="E1180" s="25" t="str">
        <f t="shared" si="166"/>
        <v/>
      </c>
      <c r="F1180" s="25" t="str">
        <f>IF($E1180="","",ROUND(MIN(Comparison!$E$5,MAX(0,$E1180+$H1179+$H1180-$M1179)),2))</f>
        <v/>
      </c>
      <c r="G1180" s="25" t="str">
        <f>IF($E1180="","",ROUND(MIN(Inputs!$B$10,MAX(0,$E1180+$H1179+$H1180-$M1179-$F1180)),2))</f>
        <v/>
      </c>
      <c r="H1180" s="25" t="str">
        <f>IF($E1180="","",ROUND(IF(Inputs!$B$12="Daily Simple Interest",$E1180*Inputs!$B$6/Inputs!$B$17*$D1180,$E1180*Inputs!$B$6/Inputs!$B$20),2))</f>
        <v/>
      </c>
      <c r="I1180" s="25" t="str">
        <f>IF($E1180="","",ROUND($L1180-$H1179-$H1180,2))</f>
        <v/>
      </c>
      <c r="J1180" s="25" t="str">
        <f>IF($E1180="","",IF($F1180+$G1180&gt;0,Inputs!$B$11,0))</f>
        <v/>
      </c>
      <c r="K1180" s="25" t="str">
        <f>IF($E1180="","",ROUND(MAX(0,$E1180-$I1180),2))</f>
        <v/>
      </c>
      <c r="L1180" s="25" t="str">
        <f>IF($E1180="","",$M1179+$F1180+$G1180)</f>
        <v/>
      </c>
      <c r="M1180" s="25" t="str">
        <f>IF($E1180="","",0)</f>
        <v/>
      </c>
      <c r="N1180" s="84" t="str">
        <f>IF($E1180="","",IF($K1180&lt;=0.005,"PAID OFF","POSTED"))</f>
        <v/>
      </c>
      <c r="O1180" s="23" t="str">
        <f t="shared" si="167"/>
        <v/>
      </c>
    </row>
    <row r="1181" spans="1:15" ht="20" customHeight="1">
      <c r="A1181" s="22" t="str">
        <f t="shared" si="164"/>
        <v/>
      </c>
      <c r="B1181" s="23" t="str">
        <f>IF($E1181="","",155)</f>
        <v/>
      </c>
      <c r="C1181" s="24" t="str">
        <f>IF($E1181="","",Inputs!$B$9+(154*Inputs!$B$21))</f>
        <v/>
      </c>
      <c r="D1181" s="23" t="str">
        <f t="shared" si="165"/>
        <v/>
      </c>
      <c r="E1181" s="25" t="str">
        <f t="shared" si="166"/>
        <v/>
      </c>
      <c r="F1181" s="25" t="str">
        <f>IF($E1181="","",ROUND(MIN(Comparison!$E$5,MAX(0,$E1181+$H1181)),2))</f>
        <v/>
      </c>
      <c r="G1181" s="25" t="str">
        <f>IF($E1181="","",ROUND(MIN(Inputs!$B$10,MAX(0,$E1181+$H1181-$F1181)),2))</f>
        <v/>
      </c>
      <c r="H1181" s="25" t="str">
        <f>IF($E1181="","",ROUND(IF(Inputs!$B$12="Daily Simple Interest",$E1181*Inputs!$B$6/Inputs!$B$17*$D1181,$E1181*Inputs!$B$6/Inputs!$B$20),2))</f>
        <v/>
      </c>
      <c r="I1181" s="25" t="str">
        <f>IF($E1181="","",0)</f>
        <v/>
      </c>
      <c r="J1181" s="25" t="str">
        <f>IF($E1181="","",IF($F1181+$G1181&gt;0,Inputs!$B$11,0))</f>
        <v/>
      </c>
      <c r="K1181" s="25" t="str">
        <f>IF($E1181="","",$E1181)</f>
        <v/>
      </c>
      <c r="L1181" s="25" t="str">
        <f>IF($E1181="","",0)</f>
        <v/>
      </c>
      <c r="M1181" s="25" t="str">
        <f>IF($E1181="","",$F1181+$G1181)</f>
        <v/>
      </c>
      <c r="N1181" s="84" t="str">
        <f>IF($E1181="","","HELD")</f>
        <v/>
      </c>
      <c r="O1181" s="23" t="str">
        <f t="shared" si="167"/>
        <v/>
      </c>
    </row>
    <row r="1182" spans="1:15" ht="20" customHeight="1">
      <c r="A1182" s="22" t="str">
        <f t="shared" si="164"/>
        <v/>
      </c>
      <c r="B1182" s="23" t="str">
        <f>IF($E1182="","",156)</f>
        <v/>
      </c>
      <c r="C1182" s="24" t="str">
        <f>IF($E1182="","",Inputs!$B$9+(155*Inputs!$B$21))</f>
        <v/>
      </c>
      <c r="D1182" s="23" t="str">
        <f t="shared" si="165"/>
        <v/>
      </c>
      <c r="E1182" s="25" t="str">
        <f t="shared" si="166"/>
        <v/>
      </c>
      <c r="F1182" s="25" t="str">
        <f>IF($E1182="","",ROUND(MIN(Comparison!$E$5,MAX(0,$E1182+$H1181+$H1182-$M1181)),2))</f>
        <v/>
      </c>
      <c r="G1182" s="25" t="str">
        <f>IF($E1182="","",ROUND(MIN(Inputs!$B$10,MAX(0,$E1182+$H1181+$H1182-$M1181-$F1182)),2))</f>
        <v/>
      </c>
      <c r="H1182" s="25" t="str">
        <f>IF($E1182="","",ROUND(IF(Inputs!$B$12="Daily Simple Interest",$E1182*Inputs!$B$6/Inputs!$B$17*$D1182,$E1182*Inputs!$B$6/Inputs!$B$20),2))</f>
        <v/>
      </c>
      <c r="I1182" s="25" t="str">
        <f>IF($E1182="","",ROUND($L1182-$H1181-$H1182,2))</f>
        <v/>
      </c>
      <c r="J1182" s="25" t="str">
        <f>IF($E1182="","",IF($F1182+$G1182&gt;0,Inputs!$B$11,0))</f>
        <v/>
      </c>
      <c r="K1182" s="25" t="str">
        <f>IF($E1182="","",ROUND(MAX(0,$E1182-$I1182),2))</f>
        <v/>
      </c>
      <c r="L1182" s="25" t="str">
        <f>IF($E1182="","",$M1181+$F1182+$G1182)</f>
        <v/>
      </c>
      <c r="M1182" s="25" t="str">
        <f>IF($E1182="","",0)</f>
        <v/>
      </c>
      <c r="N1182" s="84" t="str">
        <f>IF($E1182="","",IF($K1182&lt;=0.005,"PAID OFF","POSTED"))</f>
        <v/>
      </c>
      <c r="O1182" s="23" t="str">
        <f t="shared" si="167"/>
        <v/>
      </c>
    </row>
    <row r="1183" spans="1:15" ht="20" customHeight="1">
      <c r="A1183" s="22" t="str">
        <f t="shared" si="164"/>
        <v/>
      </c>
      <c r="B1183" s="23" t="str">
        <f>IF($E1183="","",157)</f>
        <v/>
      </c>
      <c r="C1183" s="24" t="str">
        <f>IF($E1183="","",Inputs!$B$9+(156*Inputs!$B$21))</f>
        <v/>
      </c>
      <c r="D1183" s="23" t="str">
        <f t="shared" si="165"/>
        <v/>
      </c>
      <c r="E1183" s="25" t="str">
        <f t="shared" si="166"/>
        <v/>
      </c>
      <c r="F1183" s="25" t="str">
        <f>IF($E1183="","",ROUND(MIN(Comparison!$E$5,MAX(0,$E1183+$H1183)),2))</f>
        <v/>
      </c>
      <c r="G1183" s="25" t="str">
        <f>IF($E1183="","",ROUND(MIN(Inputs!$B$10,MAX(0,$E1183+$H1183-$F1183)),2))</f>
        <v/>
      </c>
      <c r="H1183" s="25" t="str">
        <f>IF($E1183="","",ROUND(IF(Inputs!$B$12="Daily Simple Interest",$E1183*Inputs!$B$6/Inputs!$B$17*$D1183,$E1183*Inputs!$B$6/Inputs!$B$20),2))</f>
        <v/>
      </c>
      <c r="I1183" s="25" t="str">
        <f>IF($E1183="","",0)</f>
        <v/>
      </c>
      <c r="J1183" s="25" t="str">
        <f>IF($E1183="","",IF($F1183+$G1183&gt;0,Inputs!$B$11,0))</f>
        <v/>
      </c>
      <c r="K1183" s="25" t="str">
        <f>IF($E1183="","",$E1183)</f>
        <v/>
      </c>
      <c r="L1183" s="25" t="str">
        <f>IF($E1183="","",0)</f>
        <v/>
      </c>
      <c r="M1183" s="25" t="str">
        <f>IF($E1183="","",$F1183+$G1183)</f>
        <v/>
      </c>
      <c r="N1183" s="84" t="str">
        <f>IF($E1183="","","HELD")</f>
        <v/>
      </c>
      <c r="O1183" s="23" t="str">
        <f t="shared" si="167"/>
        <v/>
      </c>
    </row>
    <row r="1184" spans="1:15" ht="20" customHeight="1">
      <c r="A1184" s="22" t="str">
        <f t="shared" si="164"/>
        <v/>
      </c>
      <c r="B1184" s="23" t="str">
        <f>IF($E1184="","",158)</f>
        <v/>
      </c>
      <c r="C1184" s="24" t="str">
        <f>IF($E1184="","",Inputs!$B$9+(157*Inputs!$B$21))</f>
        <v/>
      </c>
      <c r="D1184" s="23" t="str">
        <f t="shared" si="165"/>
        <v/>
      </c>
      <c r="E1184" s="25" t="str">
        <f t="shared" si="166"/>
        <v/>
      </c>
      <c r="F1184" s="25" t="str">
        <f>IF($E1184="","",ROUND(MIN(Comparison!$E$5,MAX(0,$E1184+$H1183+$H1184-$M1183)),2))</f>
        <v/>
      </c>
      <c r="G1184" s="25" t="str">
        <f>IF($E1184="","",ROUND(MIN(Inputs!$B$10,MAX(0,$E1184+$H1183+$H1184-$M1183-$F1184)),2))</f>
        <v/>
      </c>
      <c r="H1184" s="25" t="str">
        <f>IF($E1184="","",ROUND(IF(Inputs!$B$12="Daily Simple Interest",$E1184*Inputs!$B$6/Inputs!$B$17*$D1184,$E1184*Inputs!$B$6/Inputs!$B$20),2))</f>
        <v/>
      </c>
      <c r="I1184" s="25" t="str">
        <f>IF($E1184="","",ROUND($L1184-$H1183-$H1184,2))</f>
        <v/>
      </c>
      <c r="J1184" s="25" t="str">
        <f>IF($E1184="","",IF($F1184+$G1184&gt;0,Inputs!$B$11,0))</f>
        <v/>
      </c>
      <c r="K1184" s="25" t="str">
        <f>IF($E1184="","",ROUND(MAX(0,$E1184-$I1184),2))</f>
        <v/>
      </c>
      <c r="L1184" s="25" t="str">
        <f>IF($E1184="","",$M1183+$F1184+$G1184)</f>
        <v/>
      </c>
      <c r="M1184" s="25" t="str">
        <f>IF($E1184="","",0)</f>
        <v/>
      </c>
      <c r="N1184" s="84" t="str">
        <f>IF($E1184="","",IF($K1184&lt;=0.005,"PAID OFF","POSTED"))</f>
        <v/>
      </c>
      <c r="O1184" s="23" t="str">
        <f t="shared" si="167"/>
        <v/>
      </c>
    </row>
    <row r="1185" spans="1:15" ht="20" customHeight="1">
      <c r="A1185" s="22" t="str">
        <f t="shared" si="164"/>
        <v/>
      </c>
      <c r="B1185" s="23" t="str">
        <f>IF($E1185="","",159)</f>
        <v/>
      </c>
      <c r="C1185" s="24" t="str">
        <f>IF($E1185="","",Inputs!$B$9+(158*Inputs!$B$21))</f>
        <v/>
      </c>
      <c r="D1185" s="23" t="str">
        <f t="shared" si="165"/>
        <v/>
      </c>
      <c r="E1185" s="25" t="str">
        <f t="shared" si="166"/>
        <v/>
      </c>
      <c r="F1185" s="25" t="str">
        <f>IF($E1185="","",ROUND(MIN(Comparison!$E$5,MAX(0,$E1185+$H1185)),2))</f>
        <v/>
      </c>
      <c r="G1185" s="25" t="str">
        <f>IF($E1185="","",ROUND(MIN(Inputs!$B$10,MAX(0,$E1185+$H1185-$F1185)),2))</f>
        <v/>
      </c>
      <c r="H1185" s="25" t="str">
        <f>IF($E1185="","",ROUND(IF(Inputs!$B$12="Daily Simple Interest",$E1185*Inputs!$B$6/Inputs!$B$17*$D1185,$E1185*Inputs!$B$6/Inputs!$B$20),2))</f>
        <v/>
      </c>
      <c r="I1185" s="25" t="str">
        <f>IF($E1185="","",0)</f>
        <v/>
      </c>
      <c r="J1185" s="25" t="str">
        <f>IF($E1185="","",IF($F1185+$G1185&gt;0,Inputs!$B$11,0))</f>
        <v/>
      </c>
      <c r="K1185" s="25" t="str">
        <f>IF($E1185="","",$E1185)</f>
        <v/>
      </c>
      <c r="L1185" s="25" t="str">
        <f>IF($E1185="","",0)</f>
        <v/>
      </c>
      <c r="M1185" s="25" t="str">
        <f>IF($E1185="","",$F1185+$G1185)</f>
        <v/>
      </c>
      <c r="N1185" s="84" t="str">
        <f>IF($E1185="","","HELD")</f>
        <v/>
      </c>
      <c r="O1185" s="23" t="str">
        <f t="shared" si="167"/>
        <v/>
      </c>
    </row>
    <row r="1186" spans="1:15" ht="20" customHeight="1">
      <c r="A1186" s="22" t="str">
        <f t="shared" si="164"/>
        <v/>
      </c>
      <c r="B1186" s="23" t="str">
        <f>IF($E1186="","",160)</f>
        <v/>
      </c>
      <c r="C1186" s="24" t="str">
        <f>IF($E1186="","",Inputs!$B$9+(159*Inputs!$B$21))</f>
        <v/>
      </c>
      <c r="D1186" s="23" t="str">
        <f t="shared" si="165"/>
        <v/>
      </c>
      <c r="E1186" s="25" t="str">
        <f t="shared" si="166"/>
        <v/>
      </c>
      <c r="F1186" s="25" t="str">
        <f>IF($E1186="","",ROUND(MIN(Comparison!$E$5,MAX(0,$E1186+$H1185+$H1186-$M1185)),2))</f>
        <v/>
      </c>
      <c r="G1186" s="25" t="str">
        <f>IF($E1186="","",ROUND(MIN(Inputs!$B$10,MAX(0,$E1186+$H1185+$H1186-$M1185-$F1186)),2))</f>
        <v/>
      </c>
      <c r="H1186" s="25" t="str">
        <f>IF($E1186="","",ROUND(IF(Inputs!$B$12="Daily Simple Interest",$E1186*Inputs!$B$6/Inputs!$B$17*$D1186,$E1186*Inputs!$B$6/Inputs!$B$20),2))</f>
        <v/>
      </c>
      <c r="I1186" s="25" t="str">
        <f>IF($E1186="","",ROUND($L1186-$H1185-$H1186,2))</f>
        <v/>
      </c>
      <c r="J1186" s="25" t="str">
        <f>IF($E1186="","",IF($F1186+$G1186&gt;0,Inputs!$B$11,0))</f>
        <v/>
      </c>
      <c r="K1186" s="25" t="str">
        <f>IF($E1186="","",ROUND(MAX(0,$E1186-$I1186),2))</f>
        <v/>
      </c>
      <c r="L1186" s="25" t="str">
        <f>IF($E1186="","",$M1185+$F1186+$G1186)</f>
        <v/>
      </c>
      <c r="M1186" s="25" t="str">
        <f>IF($E1186="","",0)</f>
        <v/>
      </c>
      <c r="N1186" s="84" t="str">
        <f>IF($E1186="","",IF($K1186&lt;=0.005,"PAID OFF","POSTED"))</f>
        <v/>
      </c>
      <c r="O1186" s="23" t="str">
        <f t="shared" si="167"/>
        <v/>
      </c>
    </row>
    <row r="1187" spans="1:15" ht="20" customHeight="1">
      <c r="A1187" s="22" t="str">
        <f t="shared" si="164"/>
        <v/>
      </c>
      <c r="B1187" s="23" t="str">
        <f>IF($E1187="","",161)</f>
        <v/>
      </c>
      <c r="C1187" s="24" t="str">
        <f>IF($E1187="","",Inputs!$B$9+(160*Inputs!$B$21))</f>
        <v/>
      </c>
      <c r="D1187" s="23" t="str">
        <f t="shared" si="165"/>
        <v/>
      </c>
      <c r="E1187" s="25" t="str">
        <f t="shared" si="166"/>
        <v/>
      </c>
      <c r="F1187" s="25" t="str">
        <f>IF($E1187="","",ROUND(MIN(Comparison!$E$5,MAX(0,$E1187+$H1187)),2))</f>
        <v/>
      </c>
      <c r="G1187" s="25" t="str">
        <f>IF($E1187="","",ROUND(MIN(Inputs!$B$10,MAX(0,$E1187+$H1187-$F1187)),2))</f>
        <v/>
      </c>
      <c r="H1187" s="25" t="str">
        <f>IF($E1187="","",ROUND(IF(Inputs!$B$12="Daily Simple Interest",$E1187*Inputs!$B$6/Inputs!$B$17*$D1187,$E1187*Inputs!$B$6/Inputs!$B$20),2))</f>
        <v/>
      </c>
      <c r="I1187" s="25" t="str">
        <f>IF($E1187="","",0)</f>
        <v/>
      </c>
      <c r="J1187" s="25" t="str">
        <f>IF($E1187="","",IF($F1187+$G1187&gt;0,Inputs!$B$11,0))</f>
        <v/>
      </c>
      <c r="K1187" s="25" t="str">
        <f>IF($E1187="","",$E1187)</f>
        <v/>
      </c>
      <c r="L1187" s="25" t="str">
        <f>IF($E1187="","",0)</f>
        <v/>
      </c>
      <c r="M1187" s="25" t="str">
        <f>IF($E1187="","",$F1187+$G1187)</f>
        <v/>
      </c>
      <c r="N1187" s="84" t="str">
        <f>IF($E1187="","","HELD")</f>
        <v/>
      </c>
      <c r="O1187" s="23" t="str">
        <f t="shared" si="167"/>
        <v/>
      </c>
    </row>
    <row r="1188" spans="1:15" ht="20" customHeight="1">
      <c r="A1188" s="22" t="str">
        <f t="shared" si="164"/>
        <v/>
      </c>
      <c r="B1188" s="23" t="str">
        <f>IF($E1188="","",162)</f>
        <v/>
      </c>
      <c r="C1188" s="24" t="str">
        <f>IF($E1188="","",Inputs!$B$9+(161*Inputs!$B$21))</f>
        <v/>
      </c>
      <c r="D1188" s="23" t="str">
        <f t="shared" si="165"/>
        <v/>
      </c>
      <c r="E1188" s="25" t="str">
        <f t="shared" si="166"/>
        <v/>
      </c>
      <c r="F1188" s="25" t="str">
        <f>IF($E1188="","",ROUND(MIN(Comparison!$E$5,MAX(0,$E1188+$H1187+$H1188-$M1187)),2))</f>
        <v/>
      </c>
      <c r="G1188" s="25" t="str">
        <f>IF($E1188="","",ROUND(MIN(Inputs!$B$10,MAX(0,$E1188+$H1187+$H1188-$M1187-$F1188)),2))</f>
        <v/>
      </c>
      <c r="H1188" s="25" t="str">
        <f>IF($E1188="","",ROUND(IF(Inputs!$B$12="Daily Simple Interest",$E1188*Inputs!$B$6/Inputs!$B$17*$D1188,$E1188*Inputs!$B$6/Inputs!$B$20),2))</f>
        <v/>
      </c>
      <c r="I1188" s="25" t="str">
        <f>IF($E1188="","",ROUND($L1188-$H1187-$H1188,2))</f>
        <v/>
      </c>
      <c r="J1188" s="25" t="str">
        <f>IF($E1188="","",IF($F1188+$G1188&gt;0,Inputs!$B$11,0))</f>
        <v/>
      </c>
      <c r="K1188" s="25" t="str">
        <f>IF($E1188="","",ROUND(MAX(0,$E1188-$I1188),2))</f>
        <v/>
      </c>
      <c r="L1188" s="25" t="str">
        <f>IF($E1188="","",$M1187+$F1188+$G1188)</f>
        <v/>
      </c>
      <c r="M1188" s="25" t="str">
        <f>IF($E1188="","",0)</f>
        <v/>
      </c>
      <c r="N1188" s="84" t="str">
        <f>IF($E1188="","",IF($K1188&lt;=0.005,"PAID OFF","POSTED"))</f>
        <v/>
      </c>
      <c r="O1188" s="23" t="str">
        <f t="shared" si="167"/>
        <v/>
      </c>
    </row>
    <row r="1189" spans="1:15" ht="20" customHeight="1">
      <c r="A1189" s="22" t="str">
        <f t="shared" si="164"/>
        <v/>
      </c>
      <c r="B1189" s="23" t="str">
        <f>IF($E1189="","",163)</f>
        <v/>
      </c>
      <c r="C1189" s="24" t="str">
        <f>IF($E1189="","",Inputs!$B$9+(162*Inputs!$B$21))</f>
        <v/>
      </c>
      <c r="D1189" s="23" t="str">
        <f t="shared" si="165"/>
        <v/>
      </c>
      <c r="E1189" s="25" t="str">
        <f t="shared" si="166"/>
        <v/>
      </c>
      <c r="F1189" s="25" t="str">
        <f>IF($E1189="","",ROUND(MIN(Comparison!$E$5,MAX(0,$E1189+$H1189)),2))</f>
        <v/>
      </c>
      <c r="G1189" s="25" t="str">
        <f>IF($E1189="","",ROUND(MIN(Inputs!$B$10,MAX(0,$E1189+$H1189-$F1189)),2))</f>
        <v/>
      </c>
      <c r="H1189" s="25" t="str">
        <f>IF($E1189="","",ROUND(IF(Inputs!$B$12="Daily Simple Interest",$E1189*Inputs!$B$6/Inputs!$B$17*$D1189,$E1189*Inputs!$B$6/Inputs!$B$20),2))</f>
        <v/>
      </c>
      <c r="I1189" s="25" t="str">
        <f>IF($E1189="","",0)</f>
        <v/>
      </c>
      <c r="J1189" s="25" t="str">
        <f>IF($E1189="","",IF($F1189+$G1189&gt;0,Inputs!$B$11,0))</f>
        <v/>
      </c>
      <c r="K1189" s="25" t="str">
        <f>IF($E1189="","",$E1189)</f>
        <v/>
      </c>
      <c r="L1189" s="25" t="str">
        <f>IF($E1189="","",0)</f>
        <v/>
      </c>
      <c r="M1189" s="25" t="str">
        <f>IF($E1189="","",$F1189+$G1189)</f>
        <v/>
      </c>
      <c r="N1189" s="84" t="str">
        <f>IF($E1189="","","HELD")</f>
        <v/>
      </c>
      <c r="O1189" s="23" t="str">
        <f t="shared" si="167"/>
        <v/>
      </c>
    </row>
    <row r="1190" spans="1:15" ht="20" customHeight="1">
      <c r="A1190" s="22" t="str">
        <f t="shared" si="164"/>
        <v/>
      </c>
      <c r="B1190" s="23" t="str">
        <f>IF($E1190="","",164)</f>
        <v/>
      </c>
      <c r="C1190" s="24" t="str">
        <f>IF($E1190="","",Inputs!$B$9+(163*Inputs!$B$21))</f>
        <v/>
      </c>
      <c r="D1190" s="23" t="str">
        <f t="shared" si="165"/>
        <v/>
      </c>
      <c r="E1190" s="25" t="str">
        <f t="shared" si="166"/>
        <v/>
      </c>
      <c r="F1190" s="25" t="str">
        <f>IF($E1190="","",ROUND(MIN(Comparison!$E$5,MAX(0,$E1190+$H1189+$H1190-$M1189)),2))</f>
        <v/>
      </c>
      <c r="G1190" s="25" t="str">
        <f>IF($E1190="","",ROUND(MIN(Inputs!$B$10,MAX(0,$E1190+$H1189+$H1190-$M1189-$F1190)),2))</f>
        <v/>
      </c>
      <c r="H1190" s="25" t="str">
        <f>IF($E1190="","",ROUND(IF(Inputs!$B$12="Daily Simple Interest",$E1190*Inputs!$B$6/Inputs!$B$17*$D1190,$E1190*Inputs!$B$6/Inputs!$B$20),2))</f>
        <v/>
      </c>
      <c r="I1190" s="25" t="str">
        <f>IF($E1190="","",ROUND($L1190-$H1189-$H1190,2))</f>
        <v/>
      </c>
      <c r="J1190" s="25" t="str">
        <f>IF($E1190="","",IF($F1190+$G1190&gt;0,Inputs!$B$11,0))</f>
        <v/>
      </c>
      <c r="K1190" s="25" t="str">
        <f>IF($E1190="","",ROUND(MAX(0,$E1190-$I1190),2))</f>
        <v/>
      </c>
      <c r="L1190" s="25" t="str">
        <f>IF($E1190="","",$M1189+$F1190+$G1190)</f>
        <v/>
      </c>
      <c r="M1190" s="25" t="str">
        <f>IF($E1190="","",0)</f>
        <v/>
      </c>
      <c r="N1190" s="84" t="str">
        <f>IF($E1190="","",IF($K1190&lt;=0.005,"PAID OFF","POSTED"))</f>
        <v/>
      </c>
      <c r="O1190" s="23" t="str">
        <f t="shared" si="167"/>
        <v/>
      </c>
    </row>
    <row r="1191" spans="1:15" ht="20" customHeight="1">
      <c r="A1191" s="22" t="str">
        <f t="shared" si="164"/>
        <v/>
      </c>
      <c r="B1191" s="23" t="str">
        <f>IF($E1191="","",165)</f>
        <v/>
      </c>
      <c r="C1191" s="24" t="str">
        <f>IF($E1191="","",Inputs!$B$9+(164*Inputs!$B$21))</f>
        <v/>
      </c>
      <c r="D1191" s="23" t="str">
        <f t="shared" si="165"/>
        <v/>
      </c>
      <c r="E1191" s="25" t="str">
        <f t="shared" si="166"/>
        <v/>
      </c>
      <c r="F1191" s="25" t="str">
        <f>IF($E1191="","",ROUND(MIN(Comparison!$E$5,MAX(0,$E1191+$H1191)),2))</f>
        <v/>
      </c>
      <c r="G1191" s="25" t="str">
        <f>IF($E1191="","",ROUND(MIN(Inputs!$B$10,MAX(0,$E1191+$H1191-$F1191)),2))</f>
        <v/>
      </c>
      <c r="H1191" s="25" t="str">
        <f>IF($E1191="","",ROUND(IF(Inputs!$B$12="Daily Simple Interest",$E1191*Inputs!$B$6/Inputs!$B$17*$D1191,$E1191*Inputs!$B$6/Inputs!$B$20),2))</f>
        <v/>
      </c>
      <c r="I1191" s="25" t="str">
        <f>IF($E1191="","",0)</f>
        <v/>
      </c>
      <c r="J1191" s="25" t="str">
        <f>IF($E1191="","",IF($F1191+$G1191&gt;0,Inputs!$B$11,0))</f>
        <v/>
      </c>
      <c r="K1191" s="25" t="str">
        <f>IF($E1191="","",$E1191)</f>
        <v/>
      </c>
      <c r="L1191" s="25" t="str">
        <f>IF($E1191="","",0)</f>
        <v/>
      </c>
      <c r="M1191" s="25" t="str">
        <f>IF($E1191="","",$F1191+$G1191)</f>
        <v/>
      </c>
      <c r="N1191" s="84" t="str">
        <f>IF($E1191="","","HELD")</f>
        <v/>
      </c>
      <c r="O1191" s="23" t="str">
        <f t="shared" si="167"/>
        <v/>
      </c>
    </row>
    <row r="1192" spans="1:15" ht="20" customHeight="1">
      <c r="A1192" s="22" t="str">
        <f t="shared" si="164"/>
        <v/>
      </c>
      <c r="B1192" s="23" t="str">
        <f>IF($E1192="","",166)</f>
        <v/>
      </c>
      <c r="C1192" s="24" t="str">
        <f>IF($E1192="","",Inputs!$B$9+(165*Inputs!$B$21))</f>
        <v/>
      </c>
      <c r="D1192" s="23" t="str">
        <f t="shared" si="165"/>
        <v/>
      </c>
      <c r="E1192" s="25" t="str">
        <f t="shared" si="166"/>
        <v/>
      </c>
      <c r="F1192" s="25" t="str">
        <f>IF($E1192="","",ROUND(MIN(Comparison!$E$5,MAX(0,$E1192+$H1191+$H1192-$M1191)),2))</f>
        <v/>
      </c>
      <c r="G1192" s="25" t="str">
        <f>IF($E1192="","",ROUND(MIN(Inputs!$B$10,MAX(0,$E1192+$H1191+$H1192-$M1191-$F1192)),2))</f>
        <v/>
      </c>
      <c r="H1192" s="25" t="str">
        <f>IF($E1192="","",ROUND(IF(Inputs!$B$12="Daily Simple Interest",$E1192*Inputs!$B$6/Inputs!$B$17*$D1192,$E1192*Inputs!$B$6/Inputs!$B$20),2))</f>
        <v/>
      </c>
      <c r="I1192" s="25" t="str">
        <f>IF($E1192="","",ROUND($L1192-$H1191-$H1192,2))</f>
        <v/>
      </c>
      <c r="J1192" s="25" t="str">
        <f>IF($E1192="","",IF($F1192+$G1192&gt;0,Inputs!$B$11,0))</f>
        <v/>
      </c>
      <c r="K1192" s="25" t="str">
        <f>IF($E1192="","",ROUND(MAX(0,$E1192-$I1192),2))</f>
        <v/>
      </c>
      <c r="L1192" s="25" t="str">
        <f>IF($E1192="","",$M1191+$F1192+$G1192)</f>
        <v/>
      </c>
      <c r="M1192" s="25" t="str">
        <f>IF($E1192="","",0)</f>
        <v/>
      </c>
      <c r="N1192" s="84" t="str">
        <f>IF($E1192="","",IF($K1192&lt;=0.005,"PAID OFF","POSTED"))</f>
        <v/>
      </c>
      <c r="O1192" s="23" t="str">
        <f t="shared" si="167"/>
        <v/>
      </c>
    </row>
    <row r="1193" spans="1:15" ht="20" customHeight="1">
      <c r="A1193" s="22" t="str">
        <f t="shared" si="164"/>
        <v/>
      </c>
      <c r="B1193" s="23" t="str">
        <f>IF($E1193="","",167)</f>
        <v/>
      </c>
      <c r="C1193" s="24" t="str">
        <f>IF($E1193="","",Inputs!$B$9+(166*Inputs!$B$21))</f>
        <v/>
      </c>
      <c r="D1193" s="23" t="str">
        <f t="shared" si="165"/>
        <v/>
      </c>
      <c r="E1193" s="25" t="str">
        <f t="shared" si="166"/>
        <v/>
      </c>
      <c r="F1193" s="25" t="str">
        <f>IF($E1193="","",ROUND(MIN(Comparison!$E$5,MAX(0,$E1193+$H1193)),2))</f>
        <v/>
      </c>
      <c r="G1193" s="25" t="str">
        <f>IF($E1193="","",ROUND(MIN(Inputs!$B$10,MAX(0,$E1193+$H1193-$F1193)),2))</f>
        <v/>
      </c>
      <c r="H1193" s="25" t="str">
        <f>IF($E1193="","",ROUND(IF(Inputs!$B$12="Daily Simple Interest",$E1193*Inputs!$B$6/Inputs!$B$17*$D1193,$E1193*Inputs!$B$6/Inputs!$B$20),2))</f>
        <v/>
      </c>
      <c r="I1193" s="25" t="str">
        <f>IF($E1193="","",0)</f>
        <v/>
      </c>
      <c r="J1193" s="25" t="str">
        <f>IF($E1193="","",IF($F1193+$G1193&gt;0,Inputs!$B$11,0))</f>
        <v/>
      </c>
      <c r="K1193" s="25" t="str">
        <f>IF($E1193="","",$E1193)</f>
        <v/>
      </c>
      <c r="L1193" s="25" t="str">
        <f>IF($E1193="","",0)</f>
        <v/>
      </c>
      <c r="M1193" s="25" t="str">
        <f>IF($E1193="","",$F1193+$G1193)</f>
        <v/>
      </c>
      <c r="N1193" s="84" t="str">
        <f>IF($E1193="","","HELD")</f>
        <v/>
      </c>
      <c r="O1193" s="23" t="str">
        <f t="shared" si="167"/>
        <v/>
      </c>
    </row>
    <row r="1194" spans="1:15" ht="20" customHeight="1">
      <c r="A1194" s="22" t="str">
        <f t="shared" si="164"/>
        <v/>
      </c>
      <c r="B1194" s="23" t="str">
        <f>IF($E1194="","",168)</f>
        <v/>
      </c>
      <c r="C1194" s="24" t="str">
        <f>IF($E1194="","",Inputs!$B$9+(167*Inputs!$B$21))</f>
        <v/>
      </c>
      <c r="D1194" s="23" t="str">
        <f t="shared" si="165"/>
        <v/>
      </c>
      <c r="E1194" s="25" t="str">
        <f t="shared" si="166"/>
        <v/>
      </c>
      <c r="F1194" s="25" t="str">
        <f>IF($E1194="","",ROUND(MIN(Comparison!$E$5,MAX(0,$E1194+$H1193+$H1194-$M1193)),2))</f>
        <v/>
      </c>
      <c r="G1194" s="25" t="str">
        <f>IF($E1194="","",ROUND(MIN(Inputs!$B$10,MAX(0,$E1194+$H1193+$H1194-$M1193-$F1194)),2))</f>
        <v/>
      </c>
      <c r="H1194" s="25" t="str">
        <f>IF($E1194="","",ROUND(IF(Inputs!$B$12="Daily Simple Interest",$E1194*Inputs!$B$6/Inputs!$B$17*$D1194,$E1194*Inputs!$B$6/Inputs!$B$20),2))</f>
        <v/>
      </c>
      <c r="I1194" s="25" t="str">
        <f>IF($E1194="","",ROUND($L1194-$H1193-$H1194,2))</f>
        <v/>
      </c>
      <c r="J1194" s="25" t="str">
        <f>IF($E1194="","",IF($F1194+$G1194&gt;0,Inputs!$B$11,0))</f>
        <v/>
      </c>
      <c r="K1194" s="25" t="str">
        <f>IF($E1194="","",ROUND(MAX(0,$E1194-$I1194),2))</f>
        <v/>
      </c>
      <c r="L1194" s="25" t="str">
        <f>IF($E1194="","",$M1193+$F1194+$G1194)</f>
        <v/>
      </c>
      <c r="M1194" s="25" t="str">
        <f>IF($E1194="","",0)</f>
        <v/>
      </c>
      <c r="N1194" s="84" t="str">
        <f>IF($E1194="","",IF($K1194&lt;=0.005,"PAID OFF","POSTED"))</f>
        <v/>
      </c>
      <c r="O1194" s="23" t="str">
        <f t="shared" si="167"/>
        <v/>
      </c>
    </row>
    <row r="1195" spans="1:15" ht="20" customHeight="1">
      <c r="A1195" s="22" t="str">
        <f t="shared" si="164"/>
        <v/>
      </c>
      <c r="B1195" s="23" t="str">
        <f>IF($E1195="","",169)</f>
        <v/>
      </c>
      <c r="C1195" s="24" t="str">
        <f>IF($E1195="","",Inputs!$B$9+(168*Inputs!$B$21))</f>
        <v/>
      </c>
      <c r="D1195" s="23" t="str">
        <f t="shared" si="165"/>
        <v/>
      </c>
      <c r="E1195" s="25" t="str">
        <f t="shared" si="166"/>
        <v/>
      </c>
      <c r="F1195" s="25" t="str">
        <f>IF($E1195="","",ROUND(MIN(Comparison!$E$5,MAX(0,$E1195+$H1195)),2))</f>
        <v/>
      </c>
      <c r="G1195" s="25" t="str">
        <f>IF($E1195="","",ROUND(MIN(Inputs!$B$10,MAX(0,$E1195+$H1195-$F1195)),2))</f>
        <v/>
      </c>
      <c r="H1195" s="25" t="str">
        <f>IF($E1195="","",ROUND(IF(Inputs!$B$12="Daily Simple Interest",$E1195*Inputs!$B$6/Inputs!$B$17*$D1195,$E1195*Inputs!$B$6/Inputs!$B$20),2))</f>
        <v/>
      </c>
      <c r="I1195" s="25" t="str">
        <f>IF($E1195="","",0)</f>
        <v/>
      </c>
      <c r="J1195" s="25" t="str">
        <f>IF($E1195="","",IF($F1195+$G1195&gt;0,Inputs!$B$11,0))</f>
        <v/>
      </c>
      <c r="K1195" s="25" t="str">
        <f>IF($E1195="","",$E1195)</f>
        <v/>
      </c>
      <c r="L1195" s="25" t="str">
        <f>IF($E1195="","",0)</f>
        <v/>
      </c>
      <c r="M1195" s="25" t="str">
        <f>IF($E1195="","",$F1195+$G1195)</f>
        <v/>
      </c>
      <c r="N1195" s="84" t="str">
        <f>IF($E1195="","","HELD")</f>
        <v/>
      </c>
      <c r="O1195" s="23" t="str">
        <f t="shared" si="167"/>
        <v/>
      </c>
    </row>
    <row r="1196" spans="1:15" ht="20" customHeight="1">
      <c r="A1196" s="22" t="str">
        <f t="shared" si="164"/>
        <v/>
      </c>
      <c r="B1196" s="23" t="str">
        <f>IF($E1196="","",170)</f>
        <v/>
      </c>
      <c r="C1196" s="24" t="str">
        <f>IF($E1196="","",Inputs!$B$9+(169*Inputs!$B$21))</f>
        <v/>
      </c>
      <c r="D1196" s="23" t="str">
        <f t="shared" si="165"/>
        <v/>
      </c>
      <c r="E1196" s="25" t="str">
        <f t="shared" si="166"/>
        <v/>
      </c>
      <c r="F1196" s="25" t="str">
        <f>IF($E1196="","",ROUND(MIN(Comparison!$E$5,MAX(0,$E1196+$H1195+$H1196-$M1195)),2))</f>
        <v/>
      </c>
      <c r="G1196" s="25" t="str">
        <f>IF($E1196="","",ROUND(MIN(Inputs!$B$10,MAX(0,$E1196+$H1195+$H1196-$M1195-$F1196)),2))</f>
        <v/>
      </c>
      <c r="H1196" s="25" t="str">
        <f>IF($E1196="","",ROUND(IF(Inputs!$B$12="Daily Simple Interest",$E1196*Inputs!$B$6/Inputs!$B$17*$D1196,$E1196*Inputs!$B$6/Inputs!$B$20),2))</f>
        <v/>
      </c>
      <c r="I1196" s="25" t="str">
        <f>IF($E1196="","",ROUND($L1196-$H1195-$H1196,2))</f>
        <v/>
      </c>
      <c r="J1196" s="25" t="str">
        <f>IF($E1196="","",IF($F1196+$G1196&gt;0,Inputs!$B$11,0))</f>
        <v/>
      </c>
      <c r="K1196" s="25" t="str">
        <f>IF($E1196="","",ROUND(MAX(0,$E1196-$I1196),2))</f>
        <v/>
      </c>
      <c r="L1196" s="25" t="str">
        <f>IF($E1196="","",$M1195+$F1196+$G1196)</f>
        <v/>
      </c>
      <c r="M1196" s="25" t="str">
        <f>IF($E1196="","",0)</f>
        <v/>
      </c>
      <c r="N1196" s="84" t="str">
        <f>IF($E1196="","",IF($K1196&lt;=0.005,"PAID OFF","POSTED"))</f>
        <v/>
      </c>
      <c r="O1196" s="23" t="str">
        <f t="shared" si="167"/>
        <v/>
      </c>
    </row>
    <row r="1197" spans="1:15" ht="20" customHeight="1">
      <c r="A1197" s="22" t="str">
        <f t="shared" si="164"/>
        <v/>
      </c>
      <c r="B1197" s="23" t="str">
        <f>IF($E1197="","",171)</f>
        <v/>
      </c>
      <c r="C1197" s="24" t="str">
        <f>IF($E1197="","",Inputs!$B$9+(170*Inputs!$B$21))</f>
        <v/>
      </c>
      <c r="D1197" s="23" t="str">
        <f t="shared" si="165"/>
        <v/>
      </c>
      <c r="E1197" s="25" t="str">
        <f t="shared" si="166"/>
        <v/>
      </c>
      <c r="F1197" s="25" t="str">
        <f>IF($E1197="","",ROUND(MIN(Comparison!$E$5,MAX(0,$E1197+$H1197)),2))</f>
        <v/>
      </c>
      <c r="G1197" s="25" t="str">
        <f>IF($E1197="","",ROUND(MIN(Inputs!$B$10,MAX(0,$E1197+$H1197-$F1197)),2))</f>
        <v/>
      </c>
      <c r="H1197" s="25" t="str">
        <f>IF($E1197="","",ROUND(IF(Inputs!$B$12="Daily Simple Interest",$E1197*Inputs!$B$6/Inputs!$B$17*$D1197,$E1197*Inputs!$B$6/Inputs!$B$20),2))</f>
        <v/>
      </c>
      <c r="I1197" s="25" t="str">
        <f>IF($E1197="","",0)</f>
        <v/>
      </c>
      <c r="J1197" s="25" t="str">
        <f>IF($E1197="","",IF($F1197+$G1197&gt;0,Inputs!$B$11,0))</f>
        <v/>
      </c>
      <c r="K1197" s="25" t="str">
        <f>IF($E1197="","",$E1197)</f>
        <v/>
      </c>
      <c r="L1197" s="25" t="str">
        <f>IF($E1197="","",0)</f>
        <v/>
      </c>
      <c r="M1197" s="25" t="str">
        <f>IF($E1197="","",$F1197+$G1197)</f>
        <v/>
      </c>
      <c r="N1197" s="84" t="str">
        <f>IF($E1197="","","HELD")</f>
        <v/>
      </c>
      <c r="O1197" s="23" t="str">
        <f t="shared" si="167"/>
        <v/>
      </c>
    </row>
    <row r="1198" spans="1:15" ht="20" customHeight="1">
      <c r="A1198" s="22" t="str">
        <f t="shared" si="164"/>
        <v/>
      </c>
      <c r="B1198" s="23" t="str">
        <f>IF($E1198="","",172)</f>
        <v/>
      </c>
      <c r="C1198" s="24" t="str">
        <f>IF($E1198="","",Inputs!$B$9+(171*Inputs!$B$21))</f>
        <v/>
      </c>
      <c r="D1198" s="23" t="str">
        <f t="shared" si="165"/>
        <v/>
      </c>
      <c r="E1198" s="25" t="str">
        <f t="shared" si="166"/>
        <v/>
      </c>
      <c r="F1198" s="25" t="str">
        <f>IF($E1198="","",ROUND(MIN(Comparison!$E$5,MAX(0,$E1198+$H1197+$H1198-$M1197)),2))</f>
        <v/>
      </c>
      <c r="G1198" s="25" t="str">
        <f>IF($E1198="","",ROUND(MIN(Inputs!$B$10,MAX(0,$E1198+$H1197+$H1198-$M1197-$F1198)),2))</f>
        <v/>
      </c>
      <c r="H1198" s="25" t="str">
        <f>IF($E1198="","",ROUND(IF(Inputs!$B$12="Daily Simple Interest",$E1198*Inputs!$B$6/Inputs!$B$17*$D1198,$E1198*Inputs!$B$6/Inputs!$B$20),2))</f>
        <v/>
      </c>
      <c r="I1198" s="25" t="str">
        <f>IF($E1198="","",ROUND($L1198-$H1197-$H1198,2))</f>
        <v/>
      </c>
      <c r="J1198" s="25" t="str">
        <f>IF($E1198="","",IF($F1198+$G1198&gt;0,Inputs!$B$11,0))</f>
        <v/>
      </c>
      <c r="K1198" s="25" t="str">
        <f>IF($E1198="","",ROUND(MAX(0,$E1198-$I1198),2))</f>
        <v/>
      </c>
      <c r="L1198" s="25" t="str">
        <f>IF($E1198="","",$M1197+$F1198+$G1198)</f>
        <v/>
      </c>
      <c r="M1198" s="25" t="str">
        <f>IF($E1198="","",0)</f>
        <v/>
      </c>
      <c r="N1198" s="84" t="str">
        <f>IF($E1198="","",IF($K1198&lt;=0.005,"PAID OFF","POSTED"))</f>
        <v/>
      </c>
      <c r="O1198" s="23" t="str">
        <f t="shared" si="167"/>
        <v/>
      </c>
    </row>
    <row r="1199" spans="1:15" ht="20" customHeight="1">
      <c r="A1199" s="22" t="str">
        <f t="shared" si="164"/>
        <v/>
      </c>
      <c r="B1199" s="23" t="str">
        <f>IF($E1199="","",173)</f>
        <v/>
      </c>
      <c r="C1199" s="24" t="str">
        <f>IF($E1199="","",Inputs!$B$9+(172*Inputs!$B$21))</f>
        <v/>
      </c>
      <c r="D1199" s="23" t="str">
        <f t="shared" si="165"/>
        <v/>
      </c>
      <c r="E1199" s="25" t="str">
        <f t="shared" si="166"/>
        <v/>
      </c>
      <c r="F1199" s="25" t="str">
        <f>IF($E1199="","",ROUND(MIN(Comparison!$E$5,MAX(0,$E1199+$H1199)),2))</f>
        <v/>
      </c>
      <c r="G1199" s="25" t="str">
        <f>IF($E1199="","",ROUND(MIN(Inputs!$B$10,MAX(0,$E1199+$H1199-$F1199)),2))</f>
        <v/>
      </c>
      <c r="H1199" s="25" t="str">
        <f>IF($E1199="","",ROUND(IF(Inputs!$B$12="Daily Simple Interest",$E1199*Inputs!$B$6/Inputs!$B$17*$D1199,$E1199*Inputs!$B$6/Inputs!$B$20),2))</f>
        <v/>
      </c>
      <c r="I1199" s="25" t="str">
        <f>IF($E1199="","",0)</f>
        <v/>
      </c>
      <c r="J1199" s="25" t="str">
        <f>IF($E1199="","",IF($F1199+$G1199&gt;0,Inputs!$B$11,0))</f>
        <v/>
      </c>
      <c r="K1199" s="25" t="str">
        <f>IF($E1199="","",$E1199)</f>
        <v/>
      </c>
      <c r="L1199" s="25" t="str">
        <f>IF($E1199="","",0)</f>
        <v/>
      </c>
      <c r="M1199" s="25" t="str">
        <f>IF($E1199="","",$F1199+$G1199)</f>
        <v/>
      </c>
      <c r="N1199" s="84" t="str">
        <f>IF($E1199="","","HELD")</f>
        <v/>
      </c>
      <c r="O1199" s="23" t="str">
        <f t="shared" si="167"/>
        <v/>
      </c>
    </row>
    <row r="1200" spans="1:15" ht="20" customHeight="1">
      <c r="A1200" s="22" t="str">
        <f t="shared" si="164"/>
        <v/>
      </c>
      <c r="B1200" s="23" t="str">
        <f>IF($E1200="","",174)</f>
        <v/>
      </c>
      <c r="C1200" s="24" t="str">
        <f>IF($E1200="","",Inputs!$B$9+(173*Inputs!$B$21))</f>
        <v/>
      </c>
      <c r="D1200" s="23" t="str">
        <f t="shared" si="165"/>
        <v/>
      </c>
      <c r="E1200" s="25" t="str">
        <f t="shared" si="166"/>
        <v/>
      </c>
      <c r="F1200" s="25" t="str">
        <f>IF($E1200="","",ROUND(MIN(Comparison!$E$5,MAX(0,$E1200+$H1199+$H1200-$M1199)),2))</f>
        <v/>
      </c>
      <c r="G1200" s="25" t="str">
        <f>IF($E1200="","",ROUND(MIN(Inputs!$B$10,MAX(0,$E1200+$H1199+$H1200-$M1199-$F1200)),2))</f>
        <v/>
      </c>
      <c r="H1200" s="25" t="str">
        <f>IF($E1200="","",ROUND(IF(Inputs!$B$12="Daily Simple Interest",$E1200*Inputs!$B$6/Inputs!$B$17*$D1200,$E1200*Inputs!$B$6/Inputs!$B$20),2))</f>
        <v/>
      </c>
      <c r="I1200" s="25" t="str">
        <f>IF($E1200="","",ROUND($L1200-$H1199-$H1200,2))</f>
        <v/>
      </c>
      <c r="J1200" s="25" t="str">
        <f>IF($E1200="","",IF($F1200+$G1200&gt;0,Inputs!$B$11,0))</f>
        <v/>
      </c>
      <c r="K1200" s="25" t="str">
        <f>IF($E1200="","",ROUND(MAX(0,$E1200-$I1200),2))</f>
        <v/>
      </c>
      <c r="L1200" s="25" t="str">
        <f>IF($E1200="","",$M1199+$F1200+$G1200)</f>
        <v/>
      </c>
      <c r="M1200" s="25" t="str">
        <f>IF($E1200="","",0)</f>
        <v/>
      </c>
      <c r="N1200" s="84" t="str">
        <f>IF($E1200="","",IF($K1200&lt;=0.005,"PAID OFF","POSTED"))</f>
        <v/>
      </c>
      <c r="O1200" s="23" t="str">
        <f t="shared" si="167"/>
        <v/>
      </c>
    </row>
    <row r="1201" spans="1:15" ht="20" customHeight="1">
      <c r="A1201" s="22" t="str">
        <f t="shared" si="164"/>
        <v/>
      </c>
      <c r="B1201" s="23" t="str">
        <f>IF($E1201="","",175)</f>
        <v/>
      </c>
      <c r="C1201" s="24" t="str">
        <f>IF($E1201="","",Inputs!$B$9+(174*Inputs!$B$21))</f>
        <v/>
      </c>
      <c r="D1201" s="23" t="str">
        <f t="shared" si="165"/>
        <v/>
      </c>
      <c r="E1201" s="25" t="str">
        <f t="shared" si="166"/>
        <v/>
      </c>
      <c r="F1201" s="25" t="str">
        <f>IF($E1201="","",ROUND(MIN(Comparison!$E$5,MAX(0,$E1201+$H1201)),2))</f>
        <v/>
      </c>
      <c r="G1201" s="25" t="str">
        <f>IF($E1201="","",ROUND(MIN(Inputs!$B$10,MAX(0,$E1201+$H1201-$F1201)),2))</f>
        <v/>
      </c>
      <c r="H1201" s="25" t="str">
        <f>IF($E1201="","",ROUND(IF(Inputs!$B$12="Daily Simple Interest",$E1201*Inputs!$B$6/Inputs!$B$17*$D1201,$E1201*Inputs!$B$6/Inputs!$B$20),2))</f>
        <v/>
      </c>
      <c r="I1201" s="25" t="str">
        <f>IF($E1201="","",0)</f>
        <v/>
      </c>
      <c r="J1201" s="25" t="str">
        <f>IF($E1201="","",IF($F1201+$G1201&gt;0,Inputs!$B$11,0))</f>
        <v/>
      </c>
      <c r="K1201" s="25" t="str">
        <f>IF($E1201="","",$E1201)</f>
        <v/>
      </c>
      <c r="L1201" s="25" t="str">
        <f>IF($E1201="","",0)</f>
        <v/>
      </c>
      <c r="M1201" s="25" t="str">
        <f>IF($E1201="","",$F1201+$G1201)</f>
        <v/>
      </c>
      <c r="N1201" s="84" t="str">
        <f>IF($E1201="","","HELD")</f>
        <v/>
      </c>
      <c r="O1201" s="23" t="str">
        <f t="shared" si="167"/>
        <v/>
      </c>
    </row>
    <row r="1202" spans="1:15" ht="20" customHeight="1">
      <c r="A1202" s="22" t="str">
        <f t="shared" si="164"/>
        <v/>
      </c>
      <c r="B1202" s="23" t="str">
        <f>IF($E1202="","",176)</f>
        <v/>
      </c>
      <c r="C1202" s="24" t="str">
        <f>IF($E1202="","",Inputs!$B$9+(175*Inputs!$B$21))</f>
        <v/>
      </c>
      <c r="D1202" s="23" t="str">
        <f t="shared" si="165"/>
        <v/>
      </c>
      <c r="E1202" s="25" t="str">
        <f t="shared" si="166"/>
        <v/>
      </c>
      <c r="F1202" s="25" t="str">
        <f>IF($E1202="","",ROUND(MIN(Comparison!$E$5,MAX(0,$E1202+$H1201+$H1202-$M1201)),2))</f>
        <v/>
      </c>
      <c r="G1202" s="25" t="str">
        <f>IF($E1202="","",ROUND(MIN(Inputs!$B$10,MAX(0,$E1202+$H1201+$H1202-$M1201-$F1202)),2))</f>
        <v/>
      </c>
      <c r="H1202" s="25" t="str">
        <f>IF($E1202="","",ROUND(IF(Inputs!$B$12="Daily Simple Interest",$E1202*Inputs!$B$6/Inputs!$B$17*$D1202,$E1202*Inputs!$B$6/Inputs!$B$20),2))</f>
        <v/>
      </c>
      <c r="I1202" s="25" t="str">
        <f>IF($E1202="","",ROUND($L1202-$H1201-$H1202,2))</f>
        <v/>
      </c>
      <c r="J1202" s="25" t="str">
        <f>IF($E1202="","",IF($F1202+$G1202&gt;0,Inputs!$B$11,0))</f>
        <v/>
      </c>
      <c r="K1202" s="25" t="str">
        <f>IF($E1202="","",ROUND(MAX(0,$E1202-$I1202),2))</f>
        <v/>
      </c>
      <c r="L1202" s="25" t="str">
        <f>IF($E1202="","",$M1201+$F1202+$G1202)</f>
        <v/>
      </c>
      <c r="M1202" s="25" t="str">
        <f>IF($E1202="","",0)</f>
        <v/>
      </c>
      <c r="N1202" s="84" t="str">
        <f>IF($E1202="","",IF($K1202&lt;=0.005,"PAID OFF","POSTED"))</f>
        <v/>
      </c>
      <c r="O1202" s="23" t="str">
        <f t="shared" si="167"/>
        <v/>
      </c>
    </row>
    <row r="1203" spans="1:15" ht="20" customHeight="1">
      <c r="A1203" s="22" t="str">
        <f t="shared" si="164"/>
        <v/>
      </c>
      <c r="B1203" s="23" t="str">
        <f>IF($E1203="","",177)</f>
        <v/>
      </c>
      <c r="C1203" s="24" t="str">
        <f>IF($E1203="","",Inputs!$B$9+(176*Inputs!$B$21))</f>
        <v/>
      </c>
      <c r="D1203" s="23" t="str">
        <f t="shared" si="165"/>
        <v/>
      </c>
      <c r="E1203" s="25" t="str">
        <f t="shared" si="166"/>
        <v/>
      </c>
      <c r="F1203" s="25" t="str">
        <f>IF($E1203="","",ROUND(MIN(Comparison!$E$5,MAX(0,$E1203+$H1203)),2))</f>
        <v/>
      </c>
      <c r="G1203" s="25" t="str">
        <f>IF($E1203="","",ROUND(MIN(Inputs!$B$10,MAX(0,$E1203+$H1203-$F1203)),2))</f>
        <v/>
      </c>
      <c r="H1203" s="25" t="str">
        <f>IF($E1203="","",ROUND(IF(Inputs!$B$12="Daily Simple Interest",$E1203*Inputs!$B$6/Inputs!$B$17*$D1203,$E1203*Inputs!$B$6/Inputs!$B$20),2))</f>
        <v/>
      </c>
      <c r="I1203" s="25" t="str">
        <f>IF($E1203="","",0)</f>
        <v/>
      </c>
      <c r="J1203" s="25" t="str">
        <f>IF($E1203="","",IF($F1203+$G1203&gt;0,Inputs!$B$11,0))</f>
        <v/>
      </c>
      <c r="K1203" s="25" t="str">
        <f>IF($E1203="","",$E1203)</f>
        <v/>
      </c>
      <c r="L1203" s="25" t="str">
        <f>IF($E1203="","",0)</f>
        <v/>
      </c>
      <c r="M1203" s="25" t="str">
        <f>IF($E1203="","",$F1203+$G1203)</f>
        <v/>
      </c>
      <c r="N1203" s="84" t="str">
        <f>IF($E1203="","","HELD")</f>
        <v/>
      </c>
      <c r="O1203" s="23" t="str">
        <f t="shared" si="167"/>
        <v/>
      </c>
    </row>
    <row r="1204" spans="1:15" ht="20" customHeight="1">
      <c r="A1204" s="22" t="str">
        <f t="shared" si="164"/>
        <v/>
      </c>
      <c r="B1204" s="23" t="str">
        <f>IF($E1204="","",178)</f>
        <v/>
      </c>
      <c r="C1204" s="24" t="str">
        <f>IF($E1204="","",Inputs!$B$9+(177*Inputs!$B$21))</f>
        <v/>
      </c>
      <c r="D1204" s="23" t="str">
        <f t="shared" si="165"/>
        <v/>
      </c>
      <c r="E1204" s="25" t="str">
        <f t="shared" si="166"/>
        <v/>
      </c>
      <c r="F1204" s="25" t="str">
        <f>IF($E1204="","",ROUND(MIN(Comparison!$E$5,MAX(0,$E1204+$H1203+$H1204-$M1203)),2))</f>
        <v/>
      </c>
      <c r="G1204" s="25" t="str">
        <f>IF($E1204="","",ROUND(MIN(Inputs!$B$10,MAX(0,$E1204+$H1203+$H1204-$M1203-$F1204)),2))</f>
        <v/>
      </c>
      <c r="H1204" s="25" t="str">
        <f>IF($E1204="","",ROUND(IF(Inputs!$B$12="Daily Simple Interest",$E1204*Inputs!$B$6/Inputs!$B$17*$D1204,$E1204*Inputs!$B$6/Inputs!$B$20),2))</f>
        <v/>
      </c>
      <c r="I1204" s="25" t="str">
        <f>IF($E1204="","",ROUND($L1204-$H1203-$H1204,2))</f>
        <v/>
      </c>
      <c r="J1204" s="25" t="str">
        <f>IF($E1204="","",IF($F1204+$G1204&gt;0,Inputs!$B$11,0))</f>
        <v/>
      </c>
      <c r="K1204" s="25" t="str">
        <f>IF($E1204="","",ROUND(MAX(0,$E1204-$I1204),2))</f>
        <v/>
      </c>
      <c r="L1204" s="25" t="str">
        <f>IF($E1204="","",$M1203+$F1204+$G1204)</f>
        <v/>
      </c>
      <c r="M1204" s="25" t="str">
        <f>IF($E1204="","",0)</f>
        <v/>
      </c>
      <c r="N1204" s="84" t="str">
        <f>IF($E1204="","",IF($K1204&lt;=0.005,"PAID OFF","POSTED"))</f>
        <v/>
      </c>
      <c r="O1204" s="23" t="str">
        <f t="shared" si="167"/>
        <v/>
      </c>
    </row>
    <row r="1205" spans="1:15" ht="20" customHeight="1">
      <c r="A1205" s="22" t="str">
        <f t="shared" si="164"/>
        <v/>
      </c>
      <c r="B1205" s="23" t="str">
        <f>IF($E1205="","",179)</f>
        <v/>
      </c>
      <c r="C1205" s="24" t="str">
        <f>IF($E1205="","",Inputs!$B$9+(178*Inputs!$B$21))</f>
        <v/>
      </c>
      <c r="D1205" s="23" t="str">
        <f t="shared" si="165"/>
        <v/>
      </c>
      <c r="E1205" s="25" t="str">
        <f t="shared" si="166"/>
        <v/>
      </c>
      <c r="F1205" s="25" t="str">
        <f>IF($E1205="","",ROUND(MIN(Comparison!$E$5,MAX(0,$E1205+$H1205)),2))</f>
        <v/>
      </c>
      <c r="G1205" s="25" t="str">
        <f>IF($E1205="","",ROUND(MIN(Inputs!$B$10,MAX(0,$E1205+$H1205-$F1205)),2))</f>
        <v/>
      </c>
      <c r="H1205" s="25" t="str">
        <f>IF($E1205="","",ROUND(IF(Inputs!$B$12="Daily Simple Interest",$E1205*Inputs!$B$6/Inputs!$B$17*$D1205,$E1205*Inputs!$B$6/Inputs!$B$20),2))</f>
        <v/>
      </c>
      <c r="I1205" s="25" t="str">
        <f>IF($E1205="","",0)</f>
        <v/>
      </c>
      <c r="J1205" s="25" t="str">
        <f>IF($E1205="","",IF($F1205+$G1205&gt;0,Inputs!$B$11,0))</f>
        <v/>
      </c>
      <c r="K1205" s="25" t="str">
        <f>IF($E1205="","",$E1205)</f>
        <v/>
      </c>
      <c r="L1205" s="25" t="str">
        <f>IF($E1205="","",0)</f>
        <v/>
      </c>
      <c r="M1205" s="25" t="str">
        <f>IF($E1205="","",$F1205+$G1205)</f>
        <v/>
      </c>
      <c r="N1205" s="84" t="str">
        <f>IF($E1205="","","HELD")</f>
        <v/>
      </c>
      <c r="O1205" s="23" t="str">
        <f t="shared" si="167"/>
        <v/>
      </c>
    </row>
    <row r="1206" spans="1:15" ht="20" customHeight="1">
      <c r="A1206" s="22" t="str">
        <f t="shared" si="164"/>
        <v/>
      </c>
      <c r="B1206" s="23" t="str">
        <f>IF($E1206="","",180)</f>
        <v/>
      </c>
      <c r="C1206" s="24" t="str">
        <f>IF($E1206="","",Inputs!$B$9+(179*Inputs!$B$21))</f>
        <v/>
      </c>
      <c r="D1206" s="23" t="str">
        <f t="shared" si="165"/>
        <v/>
      </c>
      <c r="E1206" s="25" t="str">
        <f t="shared" si="166"/>
        <v/>
      </c>
      <c r="F1206" s="25" t="str">
        <f>IF($E1206="","",ROUND(MIN(Comparison!$E$5,MAX(0,$E1206+$H1205+$H1206-$M1205)),2))</f>
        <v/>
      </c>
      <c r="G1206" s="25" t="str">
        <f>IF($E1206="","",ROUND(MIN(Inputs!$B$10,MAX(0,$E1206+$H1205+$H1206-$M1205-$F1206)),2))</f>
        <v/>
      </c>
      <c r="H1206" s="25" t="str">
        <f>IF($E1206="","",ROUND(IF(Inputs!$B$12="Daily Simple Interest",$E1206*Inputs!$B$6/Inputs!$B$17*$D1206,$E1206*Inputs!$B$6/Inputs!$B$20),2))</f>
        <v/>
      </c>
      <c r="I1206" s="25" t="str">
        <f>IF($E1206="","",ROUND($L1206-$H1205-$H1206,2))</f>
        <v/>
      </c>
      <c r="J1206" s="25" t="str">
        <f>IF($E1206="","",IF($F1206+$G1206&gt;0,Inputs!$B$11,0))</f>
        <v/>
      </c>
      <c r="K1206" s="25" t="str">
        <f>IF($E1206="","",ROUND(MAX(0,$E1206-$I1206),2))</f>
        <v/>
      </c>
      <c r="L1206" s="25" t="str">
        <f>IF($E1206="","",$M1205+$F1206+$G1206)</f>
        <v/>
      </c>
      <c r="M1206" s="25" t="str">
        <f>IF($E1206="","",0)</f>
        <v/>
      </c>
      <c r="N1206" s="84" t="str">
        <f>IF($E1206="","",IF($K1206&lt;=0.005,"PAID OFF","POSTED"))</f>
        <v/>
      </c>
      <c r="O1206" s="23" t="str">
        <f t="shared" si="167"/>
        <v/>
      </c>
    </row>
    <row r="1207" spans="1:15" ht="20" customHeight="1">
      <c r="A1207" s="22" t="str">
        <f t="shared" si="164"/>
        <v/>
      </c>
      <c r="B1207" s="23" t="str">
        <f>IF($E1207="","",181)</f>
        <v/>
      </c>
      <c r="C1207" s="24" t="str">
        <f>IF($E1207="","",Inputs!$B$9+(180*Inputs!$B$21))</f>
        <v/>
      </c>
      <c r="D1207" s="23" t="str">
        <f t="shared" si="165"/>
        <v/>
      </c>
      <c r="E1207" s="25" t="str">
        <f t="shared" si="166"/>
        <v/>
      </c>
      <c r="F1207" s="25" t="str">
        <f>IF($E1207="","",ROUND(MIN(Comparison!$E$5,MAX(0,$E1207+$H1207)),2))</f>
        <v/>
      </c>
      <c r="G1207" s="25" t="str">
        <f>IF($E1207="","",ROUND(MIN(Inputs!$B$10,MAX(0,$E1207+$H1207-$F1207)),2))</f>
        <v/>
      </c>
      <c r="H1207" s="25" t="str">
        <f>IF($E1207="","",ROUND(IF(Inputs!$B$12="Daily Simple Interest",$E1207*Inputs!$B$6/Inputs!$B$17*$D1207,$E1207*Inputs!$B$6/Inputs!$B$20),2))</f>
        <v/>
      </c>
      <c r="I1207" s="25" t="str">
        <f>IF($E1207="","",0)</f>
        <v/>
      </c>
      <c r="J1207" s="25" t="str">
        <f>IF($E1207="","",IF($F1207+$G1207&gt;0,Inputs!$B$11,0))</f>
        <v/>
      </c>
      <c r="K1207" s="25" t="str">
        <f>IF($E1207="","",$E1207)</f>
        <v/>
      </c>
      <c r="L1207" s="25" t="str">
        <f>IF($E1207="","",0)</f>
        <v/>
      </c>
      <c r="M1207" s="25" t="str">
        <f>IF($E1207="","",$F1207+$G1207)</f>
        <v/>
      </c>
      <c r="N1207" s="84" t="str">
        <f>IF($E1207="","","HELD")</f>
        <v/>
      </c>
      <c r="O1207" s="23" t="str">
        <f t="shared" si="167"/>
        <v/>
      </c>
    </row>
    <row r="1208" spans="1:15" ht="20" customHeight="1">
      <c r="A1208" s="22" t="str">
        <f t="shared" si="164"/>
        <v/>
      </c>
      <c r="B1208" s="23" t="str">
        <f>IF($E1208="","",182)</f>
        <v/>
      </c>
      <c r="C1208" s="24" t="str">
        <f>IF($E1208="","",Inputs!$B$9+(181*Inputs!$B$21))</f>
        <v/>
      </c>
      <c r="D1208" s="23" t="str">
        <f t="shared" si="165"/>
        <v/>
      </c>
      <c r="E1208" s="25" t="str">
        <f t="shared" si="166"/>
        <v/>
      </c>
      <c r="F1208" s="25" t="str">
        <f>IF($E1208="","",ROUND(MIN(Comparison!$E$5,MAX(0,$E1208+$H1207+$H1208-$M1207)),2))</f>
        <v/>
      </c>
      <c r="G1208" s="25" t="str">
        <f>IF($E1208="","",ROUND(MIN(Inputs!$B$10,MAX(0,$E1208+$H1207+$H1208-$M1207-$F1208)),2))</f>
        <v/>
      </c>
      <c r="H1208" s="25" t="str">
        <f>IF($E1208="","",ROUND(IF(Inputs!$B$12="Daily Simple Interest",$E1208*Inputs!$B$6/Inputs!$B$17*$D1208,$E1208*Inputs!$B$6/Inputs!$B$20),2))</f>
        <v/>
      </c>
      <c r="I1208" s="25" t="str">
        <f>IF($E1208="","",ROUND($L1208-$H1207-$H1208,2))</f>
        <v/>
      </c>
      <c r="J1208" s="25" t="str">
        <f>IF($E1208="","",IF($F1208+$G1208&gt;0,Inputs!$B$11,0))</f>
        <v/>
      </c>
      <c r="K1208" s="25" t="str">
        <f>IF($E1208="","",ROUND(MAX(0,$E1208-$I1208),2))</f>
        <v/>
      </c>
      <c r="L1208" s="25" t="str">
        <f>IF($E1208="","",$M1207+$F1208+$G1208)</f>
        <v/>
      </c>
      <c r="M1208" s="25" t="str">
        <f>IF($E1208="","",0)</f>
        <v/>
      </c>
      <c r="N1208" s="84" t="str">
        <f>IF($E1208="","",IF($K1208&lt;=0.005,"PAID OFF","POSTED"))</f>
        <v/>
      </c>
      <c r="O1208" s="23" t="str">
        <f t="shared" si="167"/>
        <v/>
      </c>
    </row>
    <row r="1209" spans="1:15" ht="20" customHeight="1">
      <c r="A1209" s="22" t="str">
        <f t="shared" si="164"/>
        <v/>
      </c>
      <c r="B1209" s="23" t="str">
        <f>IF($E1209="","",183)</f>
        <v/>
      </c>
      <c r="C1209" s="24" t="str">
        <f>IF($E1209="","",Inputs!$B$9+(182*Inputs!$B$21))</f>
        <v/>
      </c>
      <c r="D1209" s="23" t="str">
        <f t="shared" si="165"/>
        <v/>
      </c>
      <c r="E1209" s="25" t="str">
        <f t="shared" si="166"/>
        <v/>
      </c>
      <c r="F1209" s="25" t="str">
        <f>IF($E1209="","",ROUND(MIN(Comparison!$E$5,MAX(0,$E1209+$H1209)),2))</f>
        <v/>
      </c>
      <c r="G1209" s="25" t="str">
        <f>IF($E1209="","",ROUND(MIN(Inputs!$B$10,MAX(0,$E1209+$H1209-$F1209)),2))</f>
        <v/>
      </c>
      <c r="H1209" s="25" t="str">
        <f>IF($E1209="","",ROUND(IF(Inputs!$B$12="Daily Simple Interest",$E1209*Inputs!$B$6/Inputs!$B$17*$D1209,$E1209*Inputs!$B$6/Inputs!$B$20),2))</f>
        <v/>
      </c>
      <c r="I1209" s="25" t="str">
        <f>IF($E1209="","",0)</f>
        <v/>
      </c>
      <c r="J1209" s="25" t="str">
        <f>IF($E1209="","",IF($F1209+$G1209&gt;0,Inputs!$B$11,0))</f>
        <v/>
      </c>
      <c r="K1209" s="25" t="str">
        <f>IF($E1209="","",$E1209)</f>
        <v/>
      </c>
      <c r="L1209" s="25" t="str">
        <f>IF($E1209="","",0)</f>
        <v/>
      </c>
      <c r="M1209" s="25" t="str">
        <f>IF($E1209="","",$F1209+$G1209)</f>
        <v/>
      </c>
      <c r="N1209" s="84" t="str">
        <f>IF($E1209="","","HELD")</f>
        <v/>
      </c>
      <c r="O1209" s="23" t="str">
        <f t="shared" si="167"/>
        <v/>
      </c>
    </row>
    <row r="1210" spans="1:15" ht="20" customHeight="1">
      <c r="A1210" s="22" t="str">
        <f t="shared" si="164"/>
        <v/>
      </c>
      <c r="B1210" s="23" t="str">
        <f>IF($E1210="","",184)</f>
        <v/>
      </c>
      <c r="C1210" s="24" t="str">
        <f>IF($E1210="","",Inputs!$B$9+(183*Inputs!$B$21))</f>
        <v/>
      </c>
      <c r="D1210" s="23" t="str">
        <f t="shared" si="165"/>
        <v/>
      </c>
      <c r="E1210" s="25" t="str">
        <f t="shared" si="166"/>
        <v/>
      </c>
      <c r="F1210" s="25" t="str">
        <f>IF($E1210="","",ROUND(MIN(Comparison!$E$5,MAX(0,$E1210+$H1209+$H1210-$M1209)),2))</f>
        <v/>
      </c>
      <c r="G1210" s="25" t="str">
        <f>IF($E1210="","",ROUND(MIN(Inputs!$B$10,MAX(0,$E1210+$H1209+$H1210-$M1209-$F1210)),2))</f>
        <v/>
      </c>
      <c r="H1210" s="25" t="str">
        <f>IF($E1210="","",ROUND(IF(Inputs!$B$12="Daily Simple Interest",$E1210*Inputs!$B$6/Inputs!$B$17*$D1210,$E1210*Inputs!$B$6/Inputs!$B$20),2))</f>
        <v/>
      </c>
      <c r="I1210" s="25" t="str">
        <f>IF($E1210="","",ROUND($L1210-$H1209-$H1210,2))</f>
        <v/>
      </c>
      <c r="J1210" s="25" t="str">
        <f>IF($E1210="","",IF($F1210+$G1210&gt;0,Inputs!$B$11,0))</f>
        <v/>
      </c>
      <c r="K1210" s="25" t="str">
        <f>IF($E1210="","",ROUND(MAX(0,$E1210-$I1210),2))</f>
        <v/>
      </c>
      <c r="L1210" s="25" t="str">
        <f>IF($E1210="","",$M1209+$F1210+$G1210)</f>
        <v/>
      </c>
      <c r="M1210" s="25" t="str">
        <f>IF($E1210="","",0)</f>
        <v/>
      </c>
      <c r="N1210" s="84" t="str">
        <f>IF($E1210="","",IF($K1210&lt;=0.005,"PAID OFF","POSTED"))</f>
        <v/>
      </c>
      <c r="O1210" s="23" t="str">
        <f t="shared" si="167"/>
        <v/>
      </c>
    </row>
    <row r="1211" spans="1:15" ht="20" customHeight="1">
      <c r="A1211" s="22" t="str">
        <f t="shared" si="164"/>
        <v/>
      </c>
      <c r="B1211" s="23" t="str">
        <f>IF($E1211="","",185)</f>
        <v/>
      </c>
      <c r="C1211" s="24" t="str">
        <f>IF($E1211="","",Inputs!$B$9+(184*Inputs!$B$21))</f>
        <v/>
      </c>
      <c r="D1211" s="23" t="str">
        <f t="shared" si="165"/>
        <v/>
      </c>
      <c r="E1211" s="25" t="str">
        <f t="shared" si="166"/>
        <v/>
      </c>
      <c r="F1211" s="25" t="str">
        <f>IF($E1211="","",ROUND(MIN(Comparison!$E$5,MAX(0,$E1211+$H1211)),2))</f>
        <v/>
      </c>
      <c r="G1211" s="25" t="str">
        <f>IF($E1211="","",ROUND(MIN(Inputs!$B$10,MAX(0,$E1211+$H1211-$F1211)),2))</f>
        <v/>
      </c>
      <c r="H1211" s="25" t="str">
        <f>IF($E1211="","",ROUND(IF(Inputs!$B$12="Daily Simple Interest",$E1211*Inputs!$B$6/Inputs!$B$17*$D1211,$E1211*Inputs!$B$6/Inputs!$B$20),2))</f>
        <v/>
      </c>
      <c r="I1211" s="25" t="str">
        <f>IF($E1211="","",0)</f>
        <v/>
      </c>
      <c r="J1211" s="25" t="str">
        <f>IF($E1211="","",IF($F1211+$G1211&gt;0,Inputs!$B$11,0))</f>
        <v/>
      </c>
      <c r="K1211" s="25" t="str">
        <f>IF($E1211="","",$E1211)</f>
        <v/>
      </c>
      <c r="L1211" s="25" t="str">
        <f>IF($E1211="","",0)</f>
        <v/>
      </c>
      <c r="M1211" s="25" t="str">
        <f>IF($E1211="","",$F1211+$G1211)</f>
        <v/>
      </c>
      <c r="N1211" s="84" t="str">
        <f>IF($E1211="","","HELD")</f>
        <v/>
      </c>
      <c r="O1211" s="23" t="str">
        <f t="shared" si="167"/>
        <v/>
      </c>
    </row>
    <row r="1212" spans="1:15" ht="20" customHeight="1">
      <c r="A1212" s="22" t="str">
        <f t="shared" si="164"/>
        <v/>
      </c>
      <c r="B1212" s="23" t="str">
        <f>IF($E1212="","",186)</f>
        <v/>
      </c>
      <c r="C1212" s="24" t="str">
        <f>IF($E1212="","",Inputs!$B$9+(185*Inputs!$B$21))</f>
        <v/>
      </c>
      <c r="D1212" s="23" t="str">
        <f t="shared" si="165"/>
        <v/>
      </c>
      <c r="E1212" s="25" t="str">
        <f t="shared" si="166"/>
        <v/>
      </c>
      <c r="F1212" s="25" t="str">
        <f>IF($E1212="","",ROUND(MIN(Comparison!$E$5,MAX(0,$E1212+$H1211+$H1212-$M1211)),2))</f>
        <v/>
      </c>
      <c r="G1212" s="25" t="str">
        <f>IF($E1212="","",ROUND(MIN(Inputs!$B$10,MAX(0,$E1212+$H1211+$H1212-$M1211-$F1212)),2))</f>
        <v/>
      </c>
      <c r="H1212" s="25" t="str">
        <f>IF($E1212="","",ROUND(IF(Inputs!$B$12="Daily Simple Interest",$E1212*Inputs!$B$6/Inputs!$B$17*$D1212,$E1212*Inputs!$B$6/Inputs!$B$20),2))</f>
        <v/>
      </c>
      <c r="I1212" s="25" t="str">
        <f>IF($E1212="","",ROUND($L1212-$H1211-$H1212,2))</f>
        <v/>
      </c>
      <c r="J1212" s="25" t="str">
        <f>IF($E1212="","",IF($F1212+$G1212&gt;0,Inputs!$B$11,0))</f>
        <v/>
      </c>
      <c r="K1212" s="25" t="str">
        <f>IF($E1212="","",ROUND(MAX(0,$E1212-$I1212),2))</f>
        <v/>
      </c>
      <c r="L1212" s="25" t="str">
        <f>IF($E1212="","",$M1211+$F1212+$G1212)</f>
        <v/>
      </c>
      <c r="M1212" s="25" t="str">
        <f>IF($E1212="","",0)</f>
        <v/>
      </c>
      <c r="N1212" s="84" t="str">
        <f>IF($E1212="","",IF($K1212&lt;=0.005,"PAID OFF","POSTED"))</f>
        <v/>
      </c>
      <c r="O1212" s="23" t="str">
        <f t="shared" si="167"/>
        <v/>
      </c>
    </row>
    <row r="1213" spans="1:15" ht="20" customHeight="1">
      <c r="A1213" s="22" t="str">
        <f t="shared" si="164"/>
        <v/>
      </c>
      <c r="B1213" s="23" t="str">
        <f>IF($E1213="","",187)</f>
        <v/>
      </c>
      <c r="C1213" s="24" t="str">
        <f>IF($E1213="","",Inputs!$B$9+(186*Inputs!$B$21))</f>
        <v/>
      </c>
      <c r="D1213" s="23" t="str">
        <f t="shared" si="165"/>
        <v/>
      </c>
      <c r="E1213" s="25" t="str">
        <f t="shared" si="166"/>
        <v/>
      </c>
      <c r="F1213" s="25" t="str">
        <f>IF($E1213="","",ROUND(MIN(Comparison!$E$5,MAX(0,$E1213+$H1213)),2))</f>
        <v/>
      </c>
      <c r="G1213" s="25" t="str">
        <f>IF($E1213="","",ROUND(MIN(Inputs!$B$10,MAX(0,$E1213+$H1213-$F1213)),2))</f>
        <v/>
      </c>
      <c r="H1213" s="25" t="str">
        <f>IF($E1213="","",ROUND(IF(Inputs!$B$12="Daily Simple Interest",$E1213*Inputs!$B$6/Inputs!$B$17*$D1213,$E1213*Inputs!$B$6/Inputs!$B$20),2))</f>
        <v/>
      </c>
      <c r="I1213" s="25" t="str">
        <f>IF($E1213="","",0)</f>
        <v/>
      </c>
      <c r="J1213" s="25" t="str">
        <f>IF($E1213="","",IF($F1213+$G1213&gt;0,Inputs!$B$11,0))</f>
        <v/>
      </c>
      <c r="K1213" s="25" t="str">
        <f>IF($E1213="","",$E1213)</f>
        <v/>
      </c>
      <c r="L1213" s="25" t="str">
        <f>IF($E1213="","",0)</f>
        <v/>
      </c>
      <c r="M1213" s="25" t="str">
        <f>IF($E1213="","",$F1213+$G1213)</f>
        <v/>
      </c>
      <c r="N1213" s="84" t="str">
        <f>IF($E1213="","","HELD")</f>
        <v/>
      </c>
      <c r="O1213" s="23" t="str">
        <f t="shared" si="167"/>
        <v/>
      </c>
    </row>
    <row r="1214" spans="1:15" ht="20" customHeight="1">
      <c r="A1214" s="22" t="str">
        <f t="shared" si="164"/>
        <v/>
      </c>
      <c r="B1214" s="23" t="str">
        <f>IF($E1214="","",188)</f>
        <v/>
      </c>
      <c r="C1214" s="24" t="str">
        <f>IF($E1214="","",Inputs!$B$9+(187*Inputs!$B$21))</f>
        <v/>
      </c>
      <c r="D1214" s="23" t="str">
        <f t="shared" si="165"/>
        <v/>
      </c>
      <c r="E1214" s="25" t="str">
        <f t="shared" si="166"/>
        <v/>
      </c>
      <c r="F1214" s="25" t="str">
        <f>IF($E1214="","",ROUND(MIN(Comparison!$E$5,MAX(0,$E1214+$H1213+$H1214-$M1213)),2))</f>
        <v/>
      </c>
      <c r="G1214" s="25" t="str">
        <f>IF($E1214="","",ROUND(MIN(Inputs!$B$10,MAX(0,$E1214+$H1213+$H1214-$M1213-$F1214)),2))</f>
        <v/>
      </c>
      <c r="H1214" s="25" t="str">
        <f>IF($E1214="","",ROUND(IF(Inputs!$B$12="Daily Simple Interest",$E1214*Inputs!$B$6/Inputs!$B$17*$D1214,$E1214*Inputs!$B$6/Inputs!$B$20),2))</f>
        <v/>
      </c>
      <c r="I1214" s="25" t="str">
        <f>IF($E1214="","",ROUND($L1214-$H1213-$H1214,2))</f>
        <v/>
      </c>
      <c r="J1214" s="25" t="str">
        <f>IF($E1214="","",IF($F1214+$G1214&gt;0,Inputs!$B$11,0))</f>
        <v/>
      </c>
      <c r="K1214" s="25" t="str">
        <f>IF($E1214="","",ROUND(MAX(0,$E1214-$I1214),2))</f>
        <v/>
      </c>
      <c r="L1214" s="25" t="str">
        <f>IF($E1214="","",$M1213+$F1214+$G1214)</f>
        <v/>
      </c>
      <c r="M1214" s="25" t="str">
        <f>IF($E1214="","",0)</f>
        <v/>
      </c>
      <c r="N1214" s="84" t="str">
        <f>IF($E1214="","",IF($K1214&lt;=0.005,"PAID OFF","POSTED"))</f>
        <v/>
      </c>
      <c r="O1214" s="23" t="str">
        <f t="shared" si="167"/>
        <v/>
      </c>
    </row>
    <row r="1215" spans="1:15" ht="20" customHeight="1">
      <c r="A1215" s="22" t="str">
        <f t="shared" si="164"/>
        <v/>
      </c>
      <c r="B1215" s="23" t="str">
        <f>IF($E1215="","",189)</f>
        <v/>
      </c>
      <c r="C1215" s="24" t="str">
        <f>IF($E1215="","",Inputs!$B$9+(188*Inputs!$B$21))</f>
        <v/>
      </c>
      <c r="D1215" s="23" t="str">
        <f t="shared" si="165"/>
        <v/>
      </c>
      <c r="E1215" s="25" t="str">
        <f t="shared" si="166"/>
        <v/>
      </c>
      <c r="F1215" s="25" t="str">
        <f>IF($E1215="","",ROUND(MIN(Comparison!$E$5,MAX(0,$E1215+$H1215)),2))</f>
        <v/>
      </c>
      <c r="G1215" s="25" t="str">
        <f>IF($E1215="","",ROUND(MIN(Inputs!$B$10,MAX(0,$E1215+$H1215-$F1215)),2))</f>
        <v/>
      </c>
      <c r="H1215" s="25" t="str">
        <f>IF($E1215="","",ROUND(IF(Inputs!$B$12="Daily Simple Interest",$E1215*Inputs!$B$6/Inputs!$B$17*$D1215,$E1215*Inputs!$B$6/Inputs!$B$20),2))</f>
        <v/>
      </c>
      <c r="I1215" s="25" t="str">
        <f>IF($E1215="","",0)</f>
        <v/>
      </c>
      <c r="J1215" s="25" t="str">
        <f>IF($E1215="","",IF($F1215+$G1215&gt;0,Inputs!$B$11,0))</f>
        <v/>
      </c>
      <c r="K1215" s="25" t="str">
        <f>IF($E1215="","",$E1215)</f>
        <v/>
      </c>
      <c r="L1215" s="25" t="str">
        <f>IF($E1215="","",0)</f>
        <v/>
      </c>
      <c r="M1215" s="25" t="str">
        <f>IF($E1215="","",$F1215+$G1215)</f>
        <v/>
      </c>
      <c r="N1215" s="84" t="str">
        <f>IF($E1215="","","HELD")</f>
        <v/>
      </c>
      <c r="O1215" s="23" t="str">
        <f t="shared" si="167"/>
        <v/>
      </c>
    </row>
    <row r="1216" spans="1:15" ht="20" customHeight="1">
      <c r="A1216" s="22" t="str">
        <f t="shared" si="164"/>
        <v/>
      </c>
      <c r="B1216" s="23" t="str">
        <f>IF($E1216="","",190)</f>
        <v/>
      </c>
      <c r="C1216" s="24" t="str">
        <f>IF($E1216="","",Inputs!$B$9+(189*Inputs!$B$21))</f>
        <v/>
      </c>
      <c r="D1216" s="23" t="str">
        <f t="shared" si="165"/>
        <v/>
      </c>
      <c r="E1216" s="25" t="str">
        <f t="shared" si="166"/>
        <v/>
      </c>
      <c r="F1216" s="25" t="str">
        <f>IF($E1216="","",ROUND(MIN(Comparison!$E$5,MAX(0,$E1216+$H1215+$H1216-$M1215)),2))</f>
        <v/>
      </c>
      <c r="G1216" s="25" t="str">
        <f>IF($E1216="","",ROUND(MIN(Inputs!$B$10,MAX(0,$E1216+$H1215+$H1216-$M1215-$F1216)),2))</f>
        <v/>
      </c>
      <c r="H1216" s="25" t="str">
        <f>IF($E1216="","",ROUND(IF(Inputs!$B$12="Daily Simple Interest",$E1216*Inputs!$B$6/Inputs!$B$17*$D1216,$E1216*Inputs!$B$6/Inputs!$B$20),2))</f>
        <v/>
      </c>
      <c r="I1216" s="25" t="str">
        <f>IF($E1216="","",ROUND($L1216-$H1215-$H1216,2))</f>
        <v/>
      </c>
      <c r="J1216" s="25" t="str">
        <f>IF($E1216="","",IF($F1216+$G1216&gt;0,Inputs!$B$11,0))</f>
        <v/>
      </c>
      <c r="K1216" s="25" t="str">
        <f>IF($E1216="","",ROUND(MAX(0,$E1216-$I1216),2))</f>
        <v/>
      </c>
      <c r="L1216" s="25" t="str">
        <f>IF($E1216="","",$M1215+$F1216+$G1216)</f>
        <v/>
      </c>
      <c r="M1216" s="25" t="str">
        <f>IF($E1216="","",0)</f>
        <v/>
      </c>
      <c r="N1216" s="84" t="str">
        <f>IF($E1216="","",IF($K1216&lt;=0.005,"PAID OFF","POSTED"))</f>
        <v/>
      </c>
      <c r="O1216" s="23" t="str">
        <f t="shared" si="167"/>
        <v/>
      </c>
    </row>
    <row r="1217" spans="1:15" ht="20" customHeight="1">
      <c r="A1217" s="22" t="str">
        <f t="shared" si="164"/>
        <v/>
      </c>
      <c r="B1217" s="23" t="str">
        <f>IF($E1217="","",191)</f>
        <v/>
      </c>
      <c r="C1217" s="24" t="str">
        <f>IF($E1217="","",Inputs!$B$9+(190*Inputs!$B$21))</f>
        <v/>
      </c>
      <c r="D1217" s="23" t="str">
        <f t="shared" si="165"/>
        <v/>
      </c>
      <c r="E1217" s="25" t="str">
        <f t="shared" si="166"/>
        <v/>
      </c>
      <c r="F1217" s="25" t="str">
        <f>IF($E1217="","",ROUND(MIN(Comparison!$E$5,MAX(0,$E1217+$H1217)),2))</f>
        <v/>
      </c>
      <c r="G1217" s="25" t="str">
        <f>IF($E1217="","",ROUND(MIN(Inputs!$B$10,MAX(0,$E1217+$H1217-$F1217)),2))</f>
        <v/>
      </c>
      <c r="H1217" s="25" t="str">
        <f>IF($E1217="","",ROUND(IF(Inputs!$B$12="Daily Simple Interest",$E1217*Inputs!$B$6/Inputs!$B$17*$D1217,$E1217*Inputs!$B$6/Inputs!$B$20),2))</f>
        <v/>
      </c>
      <c r="I1217" s="25" t="str">
        <f>IF($E1217="","",0)</f>
        <v/>
      </c>
      <c r="J1217" s="25" t="str">
        <f>IF($E1217="","",IF($F1217+$G1217&gt;0,Inputs!$B$11,0))</f>
        <v/>
      </c>
      <c r="K1217" s="25" t="str">
        <f>IF($E1217="","",$E1217)</f>
        <v/>
      </c>
      <c r="L1217" s="25" t="str">
        <f>IF($E1217="","",0)</f>
        <v/>
      </c>
      <c r="M1217" s="25" t="str">
        <f>IF($E1217="","",$F1217+$G1217)</f>
        <v/>
      </c>
      <c r="N1217" s="84" t="str">
        <f>IF($E1217="","","HELD")</f>
        <v/>
      </c>
      <c r="O1217" s="23" t="str">
        <f t="shared" si="167"/>
        <v/>
      </c>
    </row>
    <row r="1218" spans="1:15" ht="20" customHeight="1">
      <c r="A1218" s="22" t="str">
        <f t="shared" si="164"/>
        <v/>
      </c>
      <c r="B1218" s="23" t="str">
        <f>IF($E1218="","",192)</f>
        <v/>
      </c>
      <c r="C1218" s="24" t="str">
        <f>IF($E1218="","",Inputs!$B$9+(191*Inputs!$B$21))</f>
        <v/>
      </c>
      <c r="D1218" s="23" t="str">
        <f t="shared" si="165"/>
        <v/>
      </c>
      <c r="E1218" s="25" t="str">
        <f t="shared" si="166"/>
        <v/>
      </c>
      <c r="F1218" s="25" t="str">
        <f>IF($E1218="","",ROUND(MIN(Comparison!$E$5,MAX(0,$E1218+$H1217+$H1218-$M1217)),2))</f>
        <v/>
      </c>
      <c r="G1218" s="25" t="str">
        <f>IF($E1218="","",ROUND(MIN(Inputs!$B$10,MAX(0,$E1218+$H1217+$H1218-$M1217-$F1218)),2))</f>
        <v/>
      </c>
      <c r="H1218" s="25" t="str">
        <f>IF($E1218="","",ROUND(IF(Inputs!$B$12="Daily Simple Interest",$E1218*Inputs!$B$6/Inputs!$B$17*$D1218,$E1218*Inputs!$B$6/Inputs!$B$20),2))</f>
        <v/>
      </c>
      <c r="I1218" s="25" t="str">
        <f>IF($E1218="","",ROUND($L1218-$H1217-$H1218,2))</f>
        <v/>
      </c>
      <c r="J1218" s="25" t="str">
        <f>IF($E1218="","",IF($F1218+$G1218&gt;0,Inputs!$B$11,0))</f>
        <v/>
      </c>
      <c r="K1218" s="25" t="str">
        <f>IF($E1218="","",ROUND(MAX(0,$E1218-$I1218),2))</f>
        <v/>
      </c>
      <c r="L1218" s="25" t="str">
        <f>IF($E1218="","",$M1217+$F1218+$G1218)</f>
        <v/>
      </c>
      <c r="M1218" s="25" t="str">
        <f>IF($E1218="","",0)</f>
        <v/>
      </c>
      <c r="N1218" s="84" t="str">
        <f>IF($E1218="","",IF($K1218&lt;=0.005,"PAID OFF","POSTED"))</f>
        <v/>
      </c>
      <c r="O1218" s="23" t="str">
        <f t="shared" si="167"/>
        <v/>
      </c>
    </row>
    <row r="1219" spans="1:15" ht="20" customHeight="1">
      <c r="A1219" s="22" t="str">
        <f t="shared" ref="A1219:A1282" si="168">IF($E1219="","","Biweekly Held by Lender")</f>
        <v/>
      </c>
      <c r="B1219" s="23" t="str">
        <f>IF($E1219="","",193)</f>
        <v/>
      </c>
      <c r="C1219" s="24" t="str">
        <f>IF($E1219="","",Inputs!$B$9+(192*Inputs!$B$21))</f>
        <v/>
      </c>
      <c r="D1219" s="23" t="str">
        <f t="shared" si="165"/>
        <v/>
      </c>
      <c r="E1219" s="25" t="str">
        <f t="shared" si="166"/>
        <v/>
      </c>
      <c r="F1219" s="25" t="str">
        <f>IF($E1219="","",ROUND(MIN(Comparison!$E$5,MAX(0,$E1219+$H1219)),2))</f>
        <v/>
      </c>
      <c r="G1219" s="25" t="str">
        <f>IF($E1219="","",ROUND(MIN(Inputs!$B$10,MAX(0,$E1219+$H1219-$F1219)),2))</f>
        <v/>
      </c>
      <c r="H1219" s="25" t="str">
        <f>IF($E1219="","",ROUND(IF(Inputs!$B$12="Daily Simple Interest",$E1219*Inputs!$B$6/Inputs!$B$17*$D1219,$E1219*Inputs!$B$6/Inputs!$B$20),2))</f>
        <v/>
      </c>
      <c r="I1219" s="25" t="str">
        <f>IF($E1219="","",0)</f>
        <v/>
      </c>
      <c r="J1219" s="25" t="str">
        <f>IF($E1219="","",IF($F1219+$G1219&gt;0,Inputs!$B$11,0))</f>
        <v/>
      </c>
      <c r="K1219" s="25" t="str">
        <f>IF($E1219="","",$E1219)</f>
        <v/>
      </c>
      <c r="L1219" s="25" t="str">
        <f>IF($E1219="","",0)</f>
        <v/>
      </c>
      <c r="M1219" s="25" t="str">
        <f>IF($E1219="","",$F1219+$G1219)</f>
        <v/>
      </c>
      <c r="N1219" s="84" t="str">
        <f>IF($E1219="","","HELD")</f>
        <v/>
      </c>
      <c r="O1219" s="23" t="str">
        <f t="shared" si="167"/>
        <v/>
      </c>
    </row>
    <row r="1220" spans="1:15" ht="20" customHeight="1">
      <c r="A1220" s="22" t="str">
        <f t="shared" si="168"/>
        <v/>
      </c>
      <c r="B1220" s="23" t="str">
        <f>IF($E1220="","",194)</f>
        <v/>
      </c>
      <c r="C1220" s="24" t="str">
        <f>IF($E1220="","",Inputs!$B$9+(193*Inputs!$B$21))</f>
        <v/>
      </c>
      <c r="D1220" s="23" t="str">
        <f t="shared" ref="D1220:D1283" si="169">IF($E1220="","",$C1220-$C1219)</f>
        <v/>
      </c>
      <c r="E1220" s="25" t="str">
        <f t="shared" ref="E1220:E1283" si="170">IF($K1219&gt;0.005,$K1219,"")</f>
        <v/>
      </c>
      <c r="F1220" s="25" t="str">
        <f>IF($E1220="","",ROUND(MIN(Comparison!$E$5,MAX(0,$E1220+$H1219+$H1220-$M1219)),2))</f>
        <v/>
      </c>
      <c r="G1220" s="25" t="str">
        <f>IF($E1220="","",ROUND(MIN(Inputs!$B$10,MAX(0,$E1220+$H1219+$H1220-$M1219-$F1220)),2))</f>
        <v/>
      </c>
      <c r="H1220" s="25" t="str">
        <f>IF($E1220="","",ROUND(IF(Inputs!$B$12="Daily Simple Interest",$E1220*Inputs!$B$6/Inputs!$B$17*$D1220,$E1220*Inputs!$B$6/Inputs!$B$20),2))</f>
        <v/>
      </c>
      <c r="I1220" s="25" t="str">
        <f>IF($E1220="","",ROUND($L1220-$H1219-$H1220,2))</f>
        <v/>
      </c>
      <c r="J1220" s="25" t="str">
        <f>IF($E1220="","",IF($F1220+$G1220&gt;0,Inputs!$B$11,0))</f>
        <v/>
      </c>
      <c r="K1220" s="25" t="str">
        <f>IF($E1220="","",ROUND(MAX(0,$E1220-$I1220),2))</f>
        <v/>
      </c>
      <c r="L1220" s="25" t="str">
        <f>IF($E1220="","",$M1219+$F1220+$G1220)</f>
        <v/>
      </c>
      <c r="M1220" s="25" t="str">
        <f>IF($E1220="","",0)</f>
        <v/>
      </c>
      <c r="N1220" s="84" t="str">
        <f>IF($E1220="","",IF($K1220&lt;=0.005,"PAID OFF","POSTED"))</f>
        <v/>
      </c>
      <c r="O1220" s="23" t="str">
        <f t="shared" si="167"/>
        <v/>
      </c>
    </row>
    <row r="1221" spans="1:15" ht="20" customHeight="1">
      <c r="A1221" s="22" t="str">
        <f t="shared" si="168"/>
        <v/>
      </c>
      <c r="B1221" s="23" t="str">
        <f>IF($E1221="","",195)</f>
        <v/>
      </c>
      <c r="C1221" s="24" t="str">
        <f>IF($E1221="","",Inputs!$B$9+(194*Inputs!$B$21))</f>
        <v/>
      </c>
      <c r="D1221" s="23" t="str">
        <f t="shared" si="169"/>
        <v/>
      </c>
      <c r="E1221" s="25" t="str">
        <f t="shared" si="170"/>
        <v/>
      </c>
      <c r="F1221" s="25" t="str">
        <f>IF($E1221="","",ROUND(MIN(Comparison!$E$5,MAX(0,$E1221+$H1221)),2))</f>
        <v/>
      </c>
      <c r="G1221" s="25" t="str">
        <f>IF($E1221="","",ROUND(MIN(Inputs!$B$10,MAX(0,$E1221+$H1221-$F1221)),2))</f>
        <v/>
      </c>
      <c r="H1221" s="25" t="str">
        <f>IF($E1221="","",ROUND(IF(Inputs!$B$12="Daily Simple Interest",$E1221*Inputs!$B$6/Inputs!$B$17*$D1221,$E1221*Inputs!$B$6/Inputs!$B$20),2))</f>
        <v/>
      </c>
      <c r="I1221" s="25" t="str">
        <f>IF($E1221="","",0)</f>
        <v/>
      </c>
      <c r="J1221" s="25" t="str">
        <f>IF($E1221="","",IF($F1221+$G1221&gt;0,Inputs!$B$11,0))</f>
        <v/>
      </c>
      <c r="K1221" s="25" t="str">
        <f>IF($E1221="","",$E1221)</f>
        <v/>
      </c>
      <c r="L1221" s="25" t="str">
        <f>IF($E1221="","",0)</f>
        <v/>
      </c>
      <c r="M1221" s="25" t="str">
        <f>IF($E1221="","",$F1221+$G1221)</f>
        <v/>
      </c>
      <c r="N1221" s="84" t="str">
        <f>IF($E1221="","","HELD")</f>
        <v/>
      </c>
      <c r="O1221" s="23" t="str">
        <f t="shared" si="167"/>
        <v/>
      </c>
    </row>
    <row r="1222" spans="1:15" ht="20" customHeight="1">
      <c r="A1222" s="22" t="str">
        <f t="shared" si="168"/>
        <v/>
      </c>
      <c r="B1222" s="23" t="str">
        <f>IF($E1222="","",196)</f>
        <v/>
      </c>
      <c r="C1222" s="24" t="str">
        <f>IF($E1222="","",Inputs!$B$9+(195*Inputs!$B$21))</f>
        <v/>
      </c>
      <c r="D1222" s="23" t="str">
        <f t="shared" si="169"/>
        <v/>
      </c>
      <c r="E1222" s="25" t="str">
        <f t="shared" si="170"/>
        <v/>
      </c>
      <c r="F1222" s="25" t="str">
        <f>IF($E1222="","",ROUND(MIN(Comparison!$E$5,MAX(0,$E1222+$H1221+$H1222-$M1221)),2))</f>
        <v/>
      </c>
      <c r="G1222" s="25" t="str">
        <f>IF($E1222="","",ROUND(MIN(Inputs!$B$10,MAX(0,$E1222+$H1221+$H1222-$M1221-$F1222)),2))</f>
        <v/>
      </c>
      <c r="H1222" s="25" t="str">
        <f>IF($E1222="","",ROUND(IF(Inputs!$B$12="Daily Simple Interest",$E1222*Inputs!$B$6/Inputs!$B$17*$D1222,$E1222*Inputs!$B$6/Inputs!$B$20),2))</f>
        <v/>
      </c>
      <c r="I1222" s="25" t="str">
        <f>IF($E1222="","",ROUND($L1222-$H1221-$H1222,2))</f>
        <v/>
      </c>
      <c r="J1222" s="25" t="str">
        <f>IF($E1222="","",IF($F1222+$G1222&gt;0,Inputs!$B$11,0))</f>
        <v/>
      </c>
      <c r="K1222" s="25" t="str">
        <f>IF($E1222="","",ROUND(MAX(0,$E1222-$I1222),2))</f>
        <v/>
      </c>
      <c r="L1222" s="25" t="str">
        <f>IF($E1222="","",$M1221+$F1222+$G1222)</f>
        <v/>
      </c>
      <c r="M1222" s="25" t="str">
        <f>IF($E1222="","",0)</f>
        <v/>
      </c>
      <c r="N1222" s="84" t="str">
        <f>IF($E1222="","",IF($K1222&lt;=0.005,"PAID OFF","POSTED"))</f>
        <v/>
      </c>
      <c r="O1222" s="23" t="str">
        <f t="shared" si="167"/>
        <v/>
      </c>
    </row>
    <row r="1223" spans="1:15" ht="20" customHeight="1">
      <c r="A1223" s="22" t="str">
        <f t="shared" si="168"/>
        <v/>
      </c>
      <c r="B1223" s="23" t="str">
        <f>IF($E1223="","",197)</f>
        <v/>
      </c>
      <c r="C1223" s="24" t="str">
        <f>IF($E1223="","",Inputs!$B$9+(196*Inputs!$B$21))</f>
        <v/>
      </c>
      <c r="D1223" s="23" t="str">
        <f t="shared" si="169"/>
        <v/>
      </c>
      <c r="E1223" s="25" t="str">
        <f t="shared" si="170"/>
        <v/>
      </c>
      <c r="F1223" s="25" t="str">
        <f>IF($E1223="","",ROUND(MIN(Comparison!$E$5,MAX(0,$E1223+$H1223)),2))</f>
        <v/>
      </c>
      <c r="G1223" s="25" t="str">
        <f>IF($E1223="","",ROUND(MIN(Inputs!$B$10,MAX(0,$E1223+$H1223-$F1223)),2))</f>
        <v/>
      </c>
      <c r="H1223" s="25" t="str">
        <f>IF($E1223="","",ROUND(IF(Inputs!$B$12="Daily Simple Interest",$E1223*Inputs!$B$6/Inputs!$B$17*$D1223,$E1223*Inputs!$B$6/Inputs!$B$20),2))</f>
        <v/>
      </c>
      <c r="I1223" s="25" t="str">
        <f>IF($E1223="","",0)</f>
        <v/>
      </c>
      <c r="J1223" s="25" t="str">
        <f>IF($E1223="","",IF($F1223+$G1223&gt;0,Inputs!$B$11,0))</f>
        <v/>
      </c>
      <c r="K1223" s="25" t="str">
        <f>IF($E1223="","",$E1223)</f>
        <v/>
      </c>
      <c r="L1223" s="25" t="str">
        <f>IF($E1223="","",0)</f>
        <v/>
      </c>
      <c r="M1223" s="25" t="str">
        <f>IF($E1223="","",$F1223+$G1223)</f>
        <v/>
      </c>
      <c r="N1223" s="84" t="str">
        <f>IF($E1223="","","HELD")</f>
        <v/>
      </c>
      <c r="O1223" s="23" t="str">
        <f t="shared" ref="O1223:O1286" si="171">IF($E1223="","",IF($F1223+$G1223&gt;0,1,0))</f>
        <v/>
      </c>
    </row>
    <row r="1224" spans="1:15" ht="20" customHeight="1">
      <c r="A1224" s="22" t="str">
        <f t="shared" si="168"/>
        <v/>
      </c>
      <c r="B1224" s="23" t="str">
        <f>IF($E1224="","",198)</f>
        <v/>
      </c>
      <c r="C1224" s="24" t="str">
        <f>IF($E1224="","",Inputs!$B$9+(197*Inputs!$B$21))</f>
        <v/>
      </c>
      <c r="D1224" s="23" t="str">
        <f t="shared" si="169"/>
        <v/>
      </c>
      <c r="E1224" s="25" t="str">
        <f t="shared" si="170"/>
        <v/>
      </c>
      <c r="F1224" s="25" t="str">
        <f>IF($E1224="","",ROUND(MIN(Comparison!$E$5,MAX(0,$E1224+$H1223+$H1224-$M1223)),2))</f>
        <v/>
      </c>
      <c r="G1224" s="25" t="str">
        <f>IF($E1224="","",ROUND(MIN(Inputs!$B$10,MAX(0,$E1224+$H1223+$H1224-$M1223-$F1224)),2))</f>
        <v/>
      </c>
      <c r="H1224" s="25" t="str">
        <f>IF($E1224="","",ROUND(IF(Inputs!$B$12="Daily Simple Interest",$E1224*Inputs!$B$6/Inputs!$B$17*$D1224,$E1224*Inputs!$B$6/Inputs!$B$20),2))</f>
        <v/>
      </c>
      <c r="I1224" s="25" t="str">
        <f>IF($E1224="","",ROUND($L1224-$H1223-$H1224,2))</f>
        <v/>
      </c>
      <c r="J1224" s="25" t="str">
        <f>IF($E1224="","",IF($F1224+$G1224&gt;0,Inputs!$B$11,0))</f>
        <v/>
      </c>
      <c r="K1224" s="25" t="str">
        <f>IF($E1224="","",ROUND(MAX(0,$E1224-$I1224),2))</f>
        <v/>
      </c>
      <c r="L1224" s="25" t="str">
        <f>IF($E1224="","",$M1223+$F1224+$G1224)</f>
        <v/>
      </c>
      <c r="M1224" s="25" t="str">
        <f>IF($E1224="","",0)</f>
        <v/>
      </c>
      <c r="N1224" s="84" t="str">
        <f>IF($E1224="","",IF($K1224&lt;=0.005,"PAID OFF","POSTED"))</f>
        <v/>
      </c>
      <c r="O1224" s="23" t="str">
        <f t="shared" si="171"/>
        <v/>
      </c>
    </row>
    <row r="1225" spans="1:15" ht="20" customHeight="1">
      <c r="A1225" s="22" t="str">
        <f t="shared" si="168"/>
        <v/>
      </c>
      <c r="B1225" s="23" t="str">
        <f>IF($E1225="","",199)</f>
        <v/>
      </c>
      <c r="C1225" s="24" t="str">
        <f>IF($E1225="","",Inputs!$B$9+(198*Inputs!$B$21))</f>
        <v/>
      </c>
      <c r="D1225" s="23" t="str">
        <f t="shared" si="169"/>
        <v/>
      </c>
      <c r="E1225" s="25" t="str">
        <f t="shared" si="170"/>
        <v/>
      </c>
      <c r="F1225" s="25" t="str">
        <f>IF($E1225="","",ROUND(MIN(Comparison!$E$5,MAX(0,$E1225+$H1225)),2))</f>
        <v/>
      </c>
      <c r="G1225" s="25" t="str">
        <f>IF($E1225="","",ROUND(MIN(Inputs!$B$10,MAX(0,$E1225+$H1225-$F1225)),2))</f>
        <v/>
      </c>
      <c r="H1225" s="25" t="str">
        <f>IF($E1225="","",ROUND(IF(Inputs!$B$12="Daily Simple Interest",$E1225*Inputs!$B$6/Inputs!$B$17*$D1225,$E1225*Inputs!$B$6/Inputs!$B$20),2))</f>
        <v/>
      </c>
      <c r="I1225" s="25" t="str">
        <f>IF($E1225="","",0)</f>
        <v/>
      </c>
      <c r="J1225" s="25" t="str">
        <f>IF($E1225="","",IF($F1225+$G1225&gt;0,Inputs!$B$11,0))</f>
        <v/>
      </c>
      <c r="K1225" s="25" t="str">
        <f>IF($E1225="","",$E1225)</f>
        <v/>
      </c>
      <c r="L1225" s="25" t="str">
        <f>IF($E1225="","",0)</f>
        <v/>
      </c>
      <c r="M1225" s="25" t="str">
        <f>IF($E1225="","",$F1225+$G1225)</f>
        <v/>
      </c>
      <c r="N1225" s="84" t="str">
        <f>IF($E1225="","","HELD")</f>
        <v/>
      </c>
      <c r="O1225" s="23" t="str">
        <f t="shared" si="171"/>
        <v/>
      </c>
    </row>
    <row r="1226" spans="1:15" ht="20" customHeight="1">
      <c r="A1226" s="22" t="str">
        <f t="shared" si="168"/>
        <v/>
      </c>
      <c r="B1226" s="23" t="str">
        <f>IF($E1226="","",200)</f>
        <v/>
      </c>
      <c r="C1226" s="24" t="str">
        <f>IF($E1226="","",Inputs!$B$9+(199*Inputs!$B$21))</f>
        <v/>
      </c>
      <c r="D1226" s="23" t="str">
        <f t="shared" si="169"/>
        <v/>
      </c>
      <c r="E1226" s="25" t="str">
        <f t="shared" si="170"/>
        <v/>
      </c>
      <c r="F1226" s="25" t="str">
        <f>IF($E1226="","",ROUND(MIN(Comparison!$E$5,MAX(0,$E1226+$H1225+$H1226-$M1225)),2))</f>
        <v/>
      </c>
      <c r="G1226" s="25" t="str">
        <f>IF($E1226="","",ROUND(MIN(Inputs!$B$10,MAX(0,$E1226+$H1225+$H1226-$M1225-$F1226)),2))</f>
        <v/>
      </c>
      <c r="H1226" s="25" t="str">
        <f>IF($E1226="","",ROUND(IF(Inputs!$B$12="Daily Simple Interest",$E1226*Inputs!$B$6/Inputs!$B$17*$D1226,$E1226*Inputs!$B$6/Inputs!$B$20),2))</f>
        <v/>
      </c>
      <c r="I1226" s="25" t="str">
        <f>IF($E1226="","",ROUND($L1226-$H1225-$H1226,2))</f>
        <v/>
      </c>
      <c r="J1226" s="25" t="str">
        <f>IF($E1226="","",IF($F1226+$G1226&gt;0,Inputs!$B$11,0))</f>
        <v/>
      </c>
      <c r="K1226" s="25" t="str">
        <f>IF($E1226="","",ROUND(MAX(0,$E1226-$I1226),2))</f>
        <v/>
      </c>
      <c r="L1226" s="25" t="str">
        <f>IF($E1226="","",$M1225+$F1226+$G1226)</f>
        <v/>
      </c>
      <c r="M1226" s="25" t="str">
        <f>IF($E1226="","",0)</f>
        <v/>
      </c>
      <c r="N1226" s="84" t="str">
        <f>IF($E1226="","",IF($K1226&lt;=0.005,"PAID OFF","POSTED"))</f>
        <v/>
      </c>
      <c r="O1226" s="23" t="str">
        <f t="shared" si="171"/>
        <v/>
      </c>
    </row>
    <row r="1227" spans="1:15" ht="20" customHeight="1">
      <c r="A1227" s="22" t="str">
        <f t="shared" si="168"/>
        <v/>
      </c>
      <c r="B1227" s="23" t="str">
        <f>IF($E1227="","",201)</f>
        <v/>
      </c>
      <c r="C1227" s="24" t="str">
        <f>IF($E1227="","",Inputs!$B$9+(200*Inputs!$B$21))</f>
        <v/>
      </c>
      <c r="D1227" s="23" t="str">
        <f t="shared" si="169"/>
        <v/>
      </c>
      <c r="E1227" s="25" t="str">
        <f t="shared" si="170"/>
        <v/>
      </c>
      <c r="F1227" s="25" t="str">
        <f>IF($E1227="","",ROUND(MIN(Comparison!$E$5,MAX(0,$E1227+$H1227)),2))</f>
        <v/>
      </c>
      <c r="G1227" s="25" t="str">
        <f>IF($E1227="","",ROUND(MIN(Inputs!$B$10,MAX(0,$E1227+$H1227-$F1227)),2))</f>
        <v/>
      </c>
      <c r="H1227" s="25" t="str">
        <f>IF($E1227="","",ROUND(IF(Inputs!$B$12="Daily Simple Interest",$E1227*Inputs!$B$6/Inputs!$B$17*$D1227,$E1227*Inputs!$B$6/Inputs!$B$20),2))</f>
        <v/>
      </c>
      <c r="I1227" s="25" t="str">
        <f>IF($E1227="","",0)</f>
        <v/>
      </c>
      <c r="J1227" s="25" t="str">
        <f>IF($E1227="","",IF($F1227+$G1227&gt;0,Inputs!$B$11,0))</f>
        <v/>
      </c>
      <c r="K1227" s="25" t="str">
        <f>IF($E1227="","",$E1227)</f>
        <v/>
      </c>
      <c r="L1227" s="25" t="str">
        <f>IF($E1227="","",0)</f>
        <v/>
      </c>
      <c r="M1227" s="25" t="str">
        <f>IF($E1227="","",$F1227+$G1227)</f>
        <v/>
      </c>
      <c r="N1227" s="84" t="str">
        <f>IF($E1227="","","HELD")</f>
        <v/>
      </c>
      <c r="O1227" s="23" t="str">
        <f t="shared" si="171"/>
        <v/>
      </c>
    </row>
    <row r="1228" spans="1:15" ht="20" customHeight="1">
      <c r="A1228" s="22" t="str">
        <f t="shared" si="168"/>
        <v/>
      </c>
      <c r="B1228" s="23" t="str">
        <f>IF($E1228="","",202)</f>
        <v/>
      </c>
      <c r="C1228" s="24" t="str">
        <f>IF($E1228="","",Inputs!$B$9+(201*Inputs!$B$21))</f>
        <v/>
      </c>
      <c r="D1228" s="23" t="str">
        <f t="shared" si="169"/>
        <v/>
      </c>
      <c r="E1228" s="25" t="str">
        <f t="shared" si="170"/>
        <v/>
      </c>
      <c r="F1228" s="25" t="str">
        <f>IF($E1228="","",ROUND(MIN(Comparison!$E$5,MAX(0,$E1228+$H1227+$H1228-$M1227)),2))</f>
        <v/>
      </c>
      <c r="G1228" s="25" t="str">
        <f>IF($E1228="","",ROUND(MIN(Inputs!$B$10,MAX(0,$E1228+$H1227+$H1228-$M1227-$F1228)),2))</f>
        <v/>
      </c>
      <c r="H1228" s="25" t="str">
        <f>IF($E1228="","",ROUND(IF(Inputs!$B$12="Daily Simple Interest",$E1228*Inputs!$B$6/Inputs!$B$17*$D1228,$E1228*Inputs!$B$6/Inputs!$B$20),2))</f>
        <v/>
      </c>
      <c r="I1228" s="25" t="str">
        <f>IF($E1228="","",ROUND($L1228-$H1227-$H1228,2))</f>
        <v/>
      </c>
      <c r="J1228" s="25" t="str">
        <f>IF($E1228="","",IF($F1228+$G1228&gt;0,Inputs!$B$11,0))</f>
        <v/>
      </c>
      <c r="K1228" s="25" t="str">
        <f>IF($E1228="","",ROUND(MAX(0,$E1228-$I1228),2))</f>
        <v/>
      </c>
      <c r="L1228" s="25" t="str">
        <f>IF($E1228="","",$M1227+$F1228+$G1228)</f>
        <v/>
      </c>
      <c r="M1228" s="25" t="str">
        <f>IF($E1228="","",0)</f>
        <v/>
      </c>
      <c r="N1228" s="84" t="str">
        <f>IF($E1228="","",IF($K1228&lt;=0.005,"PAID OFF","POSTED"))</f>
        <v/>
      </c>
      <c r="O1228" s="23" t="str">
        <f t="shared" si="171"/>
        <v/>
      </c>
    </row>
    <row r="1229" spans="1:15" ht="20" customHeight="1">
      <c r="A1229" s="22" t="str">
        <f t="shared" si="168"/>
        <v/>
      </c>
      <c r="B1229" s="23" t="str">
        <f>IF($E1229="","",203)</f>
        <v/>
      </c>
      <c r="C1229" s="24" t="str">
        <f>IF($E1229="","",Inputs!$B$9+(202*Inputs!$B$21))</f>
        <v/>
      </c>
      <c r="D1229" s="23" t="str">
        <f t="shared" si="169"/>
        <v/>
      </c>
      <c r="E1229" s="25" t="str">
        <f t="shared" si="170"/>
        <v/>
      </c>
      <c r="F1229" s="25" t="str">
        <f>IF($E1229="","",ROUND(MIN(Comparison!$E$5,MAX(0,$E1229+$H1229)),2))</f>
        <v/>
      </c>
      <c r="G1229" s="25" t="str">
        <f>IF($E1229="","",ROUND(MIN(Inputs!$B$10,MAX(0,$E1229+$H1229-$F1229)),2))</f>
        <v/>
      </c>
      <c r="H1229" s="25" t="str">
        <f>IF($E1229="","",ROUND(IF(Inputs!$B$12="Daily Simple Interest",$E1229*Inputs!$B$6/Inputs!$B$17*$D1229,$E1229*Inputs!$B$6/Inputs!$B$20),2))</f>
        <v/>
      </c>
      <c r="I1229" s="25" t="str">
        <f>IF($E1229="","",0)</f>
        <v/>
      </c>
      <c r="J1229" s="25" t="str">
        <f>IF($E1229="","",IF($F1229+$G1229&gt;0,Inputs!$B$11,0))</f>
        <v/>
      </c>
      <c r="K1229" s="25" t="str">
        <f>IF($E1229="","",$E1229)</f>
        <v/>
      </c>
      <c r="L1229" s="25" t="str">
        <f>IF($E1229="","",0)</f>
        <v/>
      </c>
      <c r="M1229" s="25" t="str">
        <f>IF($E1229="","",$F1229+$G1229)</f>
        <v/>
      </c>
      <c r="N1229" s="84" t="str">
        <f>IF($E1229="","","HELD")</f>
        <v/>
      </c>
      <c r="O1229" s="23" t="str">
        <f t="shared" si="171"/>
        <v/>
      </c>
    </row>
    <row r="1230" spans="1:15" ht="20" customHeight="1">
      <c r="A1230" s="22" t="str">
        <f t="shared" si="168"/>
        <v/>
      </c>
      <c r="B1230" s="23" t="str">
        <f>IF($E1230="","",204)</f>
        <v/>
      </c>
      <c r="C1230" s="24" t="str">
        <f>IF($E1230="","",Inputs!$B$9+(203*Inputs!$B$21))</f>
        <v/>
      </c>
      <c r="D1230" s="23" t="str">
        <f t="shared" si="169"/>
        <v/>
      </c>
      <c r="E1230" s="25" t="str">
        <f t="shared" si="170"/>
        <v/>
      </c>
      <c r="F1230" s="25" t="str">
        <f>IF($E1230="","",ROUND(MIN(Comparison!$E$5,MAX(0,$E1230+$H1229+$H1230-$M1229)),2))</f>
        <v/>
      </c>
      <c r="G1230" s="25" t="str">
        <f>IF($E1230="","",ROUND(MIN(Inputs!$B$10,MAX(0,$E1230+$H1229+$H1230-$M1229-$F1230)),2))</f>
        <v/>
      </c>
      <c r="H1230" s="25" t="str">
        <f>IF($E1230="","",ROUND(IF(Inputs!$B$12="Daily Simple Interest",$E1230*Inputs!$B$6/Inputs!$B$17*$D1230,$E1230*Inputs!$B$6/Inputs!$B$20),2))</f>
        <v/>
      </c>
      <c r="I1230" s="25" t="str">
        <f>IF($E1230="","",ROUND($L1230-$H1229-$H1230,2))</f>
        <v/>
      </c>
      <c r="J1230" s="25" t="str">
        <f>IF($E1230="","",IF($F1230+$G1230&gt;0,Inputs!$B$11,0))</f>
        <v/>
      </c>
      <c r="K1230" s="25" t="str">
        <f>IF($E1230="","",ROUND(MAX(0,$E1230-$I1230),2))</f>
        <v/>
      </c>
      <c r="L1230" s="25" t="str">
        <f>IF($E1230="","",$M1229+$F1230+$G1230)</f>
        <v/>
      </c>
      <c r="M1230" s="25" t="str">
        <f>IF($E1230="","",0)</f>
        <v/>
      </c>
      <c r="N1230" s="84" t="str">
        <f>IF($E1230="","",IF($K1230&lt;=0.005,"PAID OFF","POSTED"))</f>
        <v/>
      </c>
      <c r="O1230" s="23" t="str">
        <f t="shared" si="171"/>
        <v/>
      </c>
    </row>
    <row r="1231" spans="1:15" ht="20" customHeight="1">
      <c r="A1231" s="22" t="str">
        <f t="shared" si="168"/>
        <v/>
      </c>
      <c r="B1231" s="23" t="str">
        <f>IF($E1231="","",205)</f>
        <v/>
      </c>
      <c r="C1231" s="24" t="str">
        <f>IF($E1231="","",Inputs!$B$9+(204*Inputs!$B$21))</f>
        <v/>
      </c>
      <c r="D1231" s="23" t="str">
        <f t="shared" si="169"/>
        <v/>
      </c>
      <c r="E1231" s="25" t="str">
        <f t="shared" si="170"/>
        <v/>
      </c>
      <c r="F1231" s="25" t="str">
        <f>IF($E1231="","",ROUND(MIN(Comparison!$E$5,MAX(0,$E1231+$H1231)),2))</f>
        <v/>
      </c>
      <c r="G1231" s="25" t="str">
        <f>IF($E1231="","",ROUND(MIN(Inputs!$B$10,MAX(0,$E1231+$H1231-$F1231)),2))</f>
        <v/>
      </c>
      <c r="H1231" s="25" t="str">
        <f>IF($E1231="","",ROUND(IF(Inputs!$B$12="Daily Simple Interest",$E1231*Inputs!$B$6/Inputs!$B$17*$D1231,$E1231*Inputs!$B$6/Inputs!$B$20),2))</f>
        <v/>
      </c>
      <c r="I1231" s="25" t="str">
        <f>IF($E1231="","",0)</f>
        <v/>
      </c>
      <c r="J1231" s="25" t="str">
        <f>IF($E1231="","",IF($F1231+$G1231&gt;0,Inputs!$B$11,0))</f>
        <v/>
      </c>
      <c r="K1231" s="25" t="str">
        <f>IF($E1231="","",$E1231)</f>
        <v/>
      </c>
      <c r="L1231" s="25" t="str">
        <f>IF($E1231="","",0)</f>
        <v/>
      </c>
      <c r="M1231" s="25" t="str">
        <f>IF($E1231="","",$F1231+$G1231)</f>
        <v/>
      </c>
      <c r="N1231" s="84" t="str">
        <f>IF($E1231="","","HELD")</f>
        <v/>
      </c>
      <c r="O1231" s="23" t="str">
        <f t="shared" si="171"/>
        <v/>
      </c>
    </row>
    <row r="1232" spans="1:15" ht="20" customHeight="1">
      <c r="A1232" s="22" t="str">
        <f t="shared" si="168"/>
        <v/>
      </c>
      <c r="B1232" s="23" t="str">
        <f>IF($E1232="","",206)</f>
        <v/>
      </c>
      <c r="C1232" s="24" t="str">
        <f>IF($E1232="","",Inputs!$B$9+(205*Inputs!$B$21))</f>
        <v/>
      </c>
      <c r="D1232" s="23" t="str">
        <f t="shared" si="169"/>
        <v/>
      </c>
      <c r="E1232" s="25" t="str">
        <f t="shared" si="170"/>
        <v/>
      </c>
      <c r="F1232" s="25" t="str">
        <f>IF($E1232="","",ROUND(MIN(Comparison!$E$5,MAX(0,$E1232+$H1231+$H1232-$M1231)),2))</f>
        <v/>
      </c>
      <c r="G1232" s="25" t="str">
        <f>IF($E1232="","",ROUND(MIN(Inputs!$B$10,MAX(0,$E1232+$H1231+$H1232-$M1231-$F1232)),2))</f>
        <v/>
      </c>
      <c r="H1232" s="25" t="str">
        <f>IF($E1232="","",ROUND(IF(Inputs!$B$12="Daily Simple Interest",$E1232*Inputs!$B$6/Inputs!$B$17*$D1232,$E1232*Inputs!$B$6/Inputs!$B$20),2))</f>
        <v/>
      </c>
      <c r="I1232" s="25" t="str">
        <f>IF($E1232="","",ROUND($L1232-$H1231-$H1232,2))</f>
        <v/>
      </c>
      <c r="J1232" s="25" t="str">
        <f>IF($E1232="","",IF($F1232+$G1232&gt;0,Inputs!$B$11,0))</f>
        <v/>
      </c>
      <c r="K1232" s="25" t="str">
        <f>IF($E1232="","",ROUND(MAX(0,$E1232-$I1232),2))</f>
        <v/>
      </c>
      <c r="L1232" s="25" t="str">
        <f>IF($E1232="","",$M1231+$F1232+$G1232)</f>
        <v/>
      </c>
      <c r="M1232" s="25" t="str">
        <f>IF($E1232="","",0)</f>
        <v/>
      </c>
      <c r="N1232" s="84" t="str">
        <f>IF($E1232="","",IF($K1232&lt;=0.005,"PAID OFF","POSTED"))</f>
        <v/>
      </c>
      <c r="O1232" s="23" t="str">
        <f t="shared" si="171"/>
        <v/>
      </c>
    </row>
    <row r="1233" spans="1:15" ht="20" customHeight="1">
      <c r="A1233" s="22" t="str">
        <f t="shared" si="168"/>
        <v/>
      </c>
      <c r="B1233" s="23" t="str">
        <f>IF($E1233="","",207)</f>
        <v/>
      </c>
      <c r="C1233" s="24" t="str">
        <f>IF($E1233="","",Inputs!$B$9+(206*Inputs!$B$21))</f>
        <v/>
      </c>
      <c r="D1233" s="23" t="str">
        <f t="shared" si="169"/>
        <v/>
      </c>
      <c r="E1233" s="25" t="str">
        <f t="shared" si="170"/>
        <v/>
      </c>
      <c r="F1233" s="25" t="str">
        <f>IF($E1233="","",ROUND(MIN(Comparison!$E$5,MAX(0,$E1233+$H1233)),2))</f>
        <v/>
      </c>
      <c r="G1233" s="25" t="str">
        <f>IF($E1233="","",ROUND(MIN(Inputs!$B$10,MAX(0,$E1233+$H1233-$F1233)),2))</f>
        <v/>
      </c>
      <c r="H1233" s="25" t="str">
        <f>IF($E1233="","",ROUND(IF(Inputs!$B$12="Daily Simple Interest",$E1233*Inputs!$B$6/Inputs!$B$17*$D1233,$E1233*Inputs!$B$6/Inputs!$B$20),2))</f>
        <v/>
      </c>
      <c r="I1233" s="25" t="str">
        <f>IF($E1233="","",0)</f>
        <v/>
      </c>
      <c r="J1233" s="25" t="str">
        <f>IF($E1233="","",IF($F1233+$G1233&gt;0,Inputs!$B$11,0))</f>
        <v/>
      </c>
      <c r="K1233" s="25" t="str">
        <f>IF($E1233="","",$E1233)</f>
        <v/>
      </c>
      <c r="L1233" s="25" t="str">
        <f>IF($E1233="","",0)</f>
        <v/>
      </c>
      <c r="M1233" s="25" t="str">
        <f>IF($E1233="","",$F1233+$G1233)</f>
        <v/>
      </c>
      <c r="N1233" s="84" t="str">
        <f>IF($E1233="","","HELD")</f>
        <v/>
      </c>
      <c r="O1233" s="23" t="str">
        <f t="shared" si="171"/>
        <v/>
      </c>
    </row>
    <row r="1234" spans="1:15" ht="20" customHeight="1">
      <c r="A1234" s="22" t="str">
        <f t="shared" si="168"/>
        <v/>
      </c>
      <c r="B1234" s="23" t="str">
        <f>IF($E1234="","",208)</f>
        <v/>
      </c>
      <c r="C1234" s="24" t="str">
        <f>IF($E1234="","",Inputs!$B$9+(207*Inputs!$B$21))</f>
        <v/>
      </c>
      <c r="D1234" s="23" t="str">
        <f t="shared" si="169"/>
        <v/>
      </c>
      <c r="E1234" s="25" t="str">
        <f t="shared" si="170"/>
        <v/>
      </c>
      <c r="F1234" s="25" t="str">
        <f>IF($E1234="","",ROUND(MIN(Comparison!$E$5,MAX(0,$E1234+$H1233+$H1234-$M1233)),2))</f>
        <v/>
      </c>
      <c r="G1234" s="25" t="str">
        <f>IF($E1234="","",ROUND(MIN(Inputs!$B$10,MAX(0,$E1234+$H1233+$H1234-$M1233-$F1234)),2))</f>
        <v/>
      </c>
      <c r="H1234" s="25" t="str">
        <f>IF($E1234="","",ROUND(IF(Inputs!$B$12="Daily Simple Interest",$E1234*Inputs!$B$6/Inputs!$B$17*$D1234,$E1234*Inputs!$B$6/Inputs!$B$20),2))</f>
        <v/>
      </c>
      <c r="I1234" s="25" t="str">
        <f>IF($E1234="","",ROUND($L1234-$H1233-$H1234,2))</f>
        <v/>
      </c>
      <c r="J1234" s="25" t="str">
        <f>IF($E1234="","",IF($F1234+$G1234&gt;0,Inputs!$B$11,0))</f>
        <v/>
      </c>
      <c r="K1234" s="25" t="str">
        <f>IF($E1234="","",ROUND(MAX(0,$E1234-$I1234),2))</f>
        <v/>
      </c>
      <c r="L1234" s="25" t="str">
        <f>IF($E1234="","",$M1233+$F1234+$G1234)</f>
        <v/>
      </c>
      <c r="M1234" s="25" t="str">
        <f>IF($E1234="","",0)</f>
        <v/>
      </c>
      <c r="N1234" s="84" t="str">
        <f>IF($E1234="","",IF($K1234&lt;=0.005,"PAID OFF","POSTED"))</f>
        <v/>
      </c>
      <c r="O1234" s="23" t="str">
        <f t="shared" si="171"/>
        <v/>
      </c>
    </row>
    <row r="1235" spans="1:15" ht="20" customHeight="1">
      <c r="A1235" s="22" t="str">
        <f t="shared" si="168"/>
        <v/>
      </c>
      <c r="B1235" s="23" t="str">
        <f>IF($E1235="","",209)</f>
        <v/>
      </c>
      <c r="C1235" s="24" t="str">
        <f>IF($E1235="","",Inputs!$B$9+(208*Inputs!$B$21))</f>
        <v/>
      </c>
      <c r="D1235" s="23" t="str">
        <f t="shared" si="169"/>
        <v/>
      </c>
      <c r="E1235" s="25" t="str">
        <f t="shared" si="170"/>
        <v/>
      </c>
      <c r="F1235" s="25" t="str">
        <f>IF($E1235="","",ROUND(MIN(Comparison!$E$5,MAX(0,$E1235+$H1235)),2))</f>
        <v/>
      </c>
      <c r="G1235" s="25" t="str">
        <f>IF($E1235="","",ROUND(MIN(Inputs!$B$10,MAX(0,$E1235+$H1235-$F1235)),2))</f>
        <v/>
      </c>
      <c r="H1235" s="25" t="str">
        <f>IF($E1235="","",ROUND(IF(Inputs!$B$12="Daily Simple Interest",$E1235*Inputs!$B$6/Inputs!$B$17*$D1235,$E1235*Inputs!$B$6/Inputs!$B$20),2))</f>
        <v/>
      </c>
      <c r="I1235" s="25" t="str">
        <f>IF($E1235="","",0)</f>
        <v/>
      </c>
      <c r="J1235" s="25" t="str">
        <f>IF($E1235="","",IF($F1235+$G1235&gt;0,Inputs!$B$11,0))</f>
        <v/>
      </c>
      <c r="K1235" s="25" t="str">
        <f>IF($E1235="","",$E1235)</f>
        <v/>
      </c>
      <c r="L1235" s="25" t="str">
        <f>IF($E1235="","",0)</f>
        <v/>
      </c>
      <c r="M1235" s="25" t="str">
        <f>IF($E1235="","",$F1235+$G1235)</f>
        <v/>
      </c>
      <c r="N1235" s="84" t="str">
        <f>IF($E1235="","","HELD")</f>
        <v/>
      </c>
      <c r="O1235" s="23" t="str">
        <f t="shared" si="171"/>
        <v/>
      </c>
    </row>
    <row r="1236" spans="1:15" ht="20" customHeight="1">
      <c r="A1236" s="22" t="str">
        <f t="shared" si="168"/>
        <v/>
      </c>
      <c r="B1236" s="23" t="str">
        <f>IF($E1236="","",210)</f>
        <v/>
      </c>
      <c r="C1236" s="24" t="str">
        <f>IF($E1236="","",Inputs!$B$9+(209*Inputs!$B$21))</f>
        <v/>
      </c>
      <c r="D1236" s="23" t="str">
        <f t="shared" si="169"/>
        <v/>
      </c>
      <c r="E1236" s="25" t="str">
        <f t="shared" si="170"/>
        <v/>
      </c>
      <c r="F1236" s="25" t="str">
        <f>IF($E1236="","",ROUND(MIN(Comparison!$E$5,MAX(0,$E1236+$H1235+$H1236-$M1235)),2))</f>
        <v/>
      </c>
      <c r="G1236" s="25" t="str">
        <f>IF($E1236="","",ROUND(MIN(Inputs!$B$10,MAX(0,$E1236+$H1235+$H1236-$M1235-$F1236)),2))</f>
        <v/>
      </c>
      <c r="H1236" s="25" t="str">
        <f>IF($E1236="","",ROUND(IF(Inputs!$B$12="Daily Simple Interest",$E1236*Inputs!$B$6/Inputs!$B$17*$D1236,$E1236*Inputs!$B$6/Inputs!$B$20),2))</f>
        <v/>
      </c>
      <c r="I1236" s="25" t="str">
        <f>IF($E1236="","",ROUND($L1236-$H1235-$H1236,2))</f>
        <v/>
      </c>
      <c r="J1236" s="25" t="str">
        <f>IF($E1236="","",IF($F1236+$G1236&gt;0,Inputs!$B$11,0))</f>
        <v/>
      </c>
      <c r="K1236" s="25" t="str">
        <f>IF($E1236="","",ROUND(MAX(0,$E1236-$I1236),2))</f>
        <v/>
      </c>
      <c r="L1236" s="25" t="str">
        <f>IF($E1236="","",$M1235+$F1236+$G1236)</f>
        <v/>
      </c>
      <c r="M1236" s="25" t="str">
        <f>IF($E1236="","",0)</f>
        <v/>
      </c>
      <c r="N1236" s="84" t="str">
        <f>IF($E1236="","",IF($K1236&lt;=0.005,"PAID OFF","POSTED"))</f>
        <v/>
      </c>
      <c r="O1236" s="23" t="str">
        <f t="shared" si="171"/>
        <v/>
      </c>
    </row>
    <row r="1237" spans="1:15" ht="20" customHeight="1">
      <c r="A1237" s="22" t="str">
        <f t="shared" si="168"/>
        <v/>
      </c>
      <c r="B1237" s="23" t="str">
        <f>IF($E1237="","",211)</f>
        <v/>
      </c>
      <c r="C1237" s="24" t="str">
        <f>IF($E1237="","",Inputs!$B$9+(210*Inputs!$B$21))</f>
        <v/>
      </c>
      <c r="D1237" s="23" t="str">
        <f t="shared" si="169"/>
        <v/>
      </c>
      <c r="E1237" s="25" t="str">
        <f t="shared" si="170"/>
        <v/>
      </c>
      <c r="F1237" s="25" t="str">
        <f>IF($E1237="","",ROUND(MIN(Comparison!$E$5,MAX(0,$E1237+$H1237)),2))</f>
        <v/>
      </c>
      <c r="G1237" s="25" t="str">
        <f>IF($E1237="","",ROUND(MIN(Inputs!$B$10,MAX(0,$E1237+$H1237-$F1237)),2))</f>
        <v/>
      </c>
      <c r="H1237" s="25" t="str">
        <f>IF($E1237="","",ROUND(IF(Inputs!$B$12="Daily Simple Interest",$E1237*Inputs!$B$6/Inputs!$B$17*$D1237,$E1237*Inputs!$B$6/Inputs!$B$20),2))</f>
        <v/>
      </c>
      <c r="I1237" s="25" t="str">
        <f>IF($E1237="","",0)</f>
        <v/>
      </c>
      <c r="J1237" s="25" t="str">
        <f>IF($E1237="","",IF($F1237+$G1237&gt;0,Inputs!$B$11,0))</f>
        <v/>
      </c>
      <c r="K1237" s="25" t="str">
        <f>IF($E1237="","",$E1237)</f>
        <v/>
      </c>
      <c r="L1237" s="25" t="str">
        <f>IF($E1237="","",0)</f>
        <v/>
      </c>
      <c r="M1237" s="25" t="str">
        <f>IF($E1237="","",$F1237+$G1237)</f>
        <v/>
      </c>
      <c r="N1237" s="84" t="str">
        <f>IF($E1237="","","HELD")</f>
        <v/>
      </c>
      <c r="O1237" s="23" t="str">
        <f t="shared" si="171"/>
        <v/>
      </c>
    </row>
    <row r="1238" spans="1:15" ht="20" customHeight="1">
      <c r="A1238" s="22" t="str">
        <f t="shared" si="168"/>
        <v/>
      </c>
      <c r="B1238" s="23" t="str">
        <f>IF($E1238="","",212)</f>
        <v/>
      </c>
      <c r="C1238" s="24" t="str">
        <f>IF($E1238="","",Inputs!$B$9+(211*Inputs!$B$21))</f>
        <v/>
      </c>
      <c r="D1238" s="23" t="str">
        <f t="shared" si="169"/>
        <v/>
      </c>
      <c r="E1238" s="25" t="str">
        <f t="shared" si="170"/>
        <v/>
      </c>
      <c r="F1238" s="25" t="str">
        <f>IF($E1238="","",ROUND(MIN(Comparison!$E$5,MAX(0,$E1238+$H1237+$H1238-$M1237)),2))</f>
        <v/>
      </c>
      <c r="G1238" s="25" t="str">
        <f>IF($E1238="","",ROUND(MIN(Inputs!$B$10,MAX(0,$E1238+$H1237+$H1238-$M1237-$F1238)),2))</f>
        <v/>
      </c>
      <c r="H1238" s="25" t="str">
        <f>IF($E1238="","",ROUND(IF(Inputs!$B$12="Daily Simple Interest",$E1238*Inputs!$B$6/Inputs!$B$17*$D1238,$E1238*Inputs!$B$6/Inputs!$B$20),2))</f>
        <v/>
      </c>
      <c r="I1238" s="25" t="str">
        <f>IF($E1238="","",ROUND($L1238-$H1237-$H1238,2))</f>
        <v/>
      </c>
      <c r="J1238" s="25" t="str">
        <f>IF($E1238="","",IF($F1238+$G1238&gt;0,Inputs!$B$11,0))</f>
        <v/>
      </c>
      <c r="K1238" s="25" t="str">
        <f>IF($E1238="","",ROUND(MAX(0,$E1238-$I1238),2))</f>
        <v/>
      </c>
      <c r="L1238" s="25" t="str">
        <f>IF($E1238="","",$M1237+$F1238+$G1238)</f>
        <v/>
      </c>
      <c r="M1238" s="25" t="str">
        <f>IF($E1238="","",0)</f>
        <v/>
      </c>
      <c r="N1238" s="84" t="str">
        <f>IF($E1238="","",IF($K1238&lt;=0.005,"PAID OFF","POSTED"))</f>
        <v/>
      </c>
      <c r="O1238" s="23" t="str">
        <f t="shared" si="171"/>
        <v/>
      </c>
    </row>
    <row r="1239" spans="1:15" ht="20" customHeight="1">
      <c r="A1239" s="22" t="str">
        <f t="shared" si="168"/>
        <v/>
      </c>
      <c r="B1239" s="23" t="str">
        <f>IF($E1239="","",213)</f>
        <v/>
      </c>
      <c r="C1239" s="24" t="str">
        <f>IF($E1239="","",Inputs!$B$9+(212*Inputs!$B$21))</f>
        <v/>
      </c>
      <c r="D1239" s="23" t="str">
        <f t="shared" si="169"/>
        <v/>
      </c>
      <c r="E1239" s="25" t="str">
        <f t="shared" si="170"/>
        <v/>
      </c>
      <c r="F1239" s="25" t="str">
        <f>IF($E1239="","",ROUND(MIN(Comparison!$E$5,MAX(0,$E1239+$H1239)),2))</f>
        <v/>
      </c>
      <c r="G1239" s="25" t="str">
        <f>IF($E1239="","",ROUND(MIN(Inputs!$B$10,MAX(0,$E1239+$H1239-$F1239)),2))</f>
        <v/>
      </c>
      <c r="H1239" s="25" t="str">
        <f>IF($E1239="","",ROUND(IF(Inputs!$B$12="Daily Simple Interest",$E1239*Inputs!$B$6/Inputs!$B$17*$D1239,$E1239*Inputs!$B$6/Inputs!$B$20),2))</f>
        <v/>
      </c>
      <c r="I1239" s="25" t="str">
        <f>IF($E1239="","",0)</f>
        <v/>
      </c>
      <c r="J1239" s="25" t="str">
        <f>IF($E1239="","",IF($F1239+$G1239&gt;0,Inputs!$B$11,0))</f>
        <v/>
      </c>
      <c r="K1239" s="25" t="str">
        <f>IF($E1239="","",$E1239)</f>
        <v/>
      </c>
      <c r="L1239" s="25" t="str">
        <f>IF($E1239="","",0)</f>
        <v/>
      </c>
      <c r="M1239" s="25" t="str">
        <f>IF($E1239="","",$F1239+$G1239)</f>
        <v/>
      </c>
      <c r="N1239" s="84" t="str">
        <f>IF($E1239="","","HELD")</f>
        <v/>
      </c>
      <c r="O1239" s="23" t="str">
        <f t="shared" si="171"/>
        <v/>
      </c>
    </row>
    <row r="1240" spans="1:15" ht="20" customHeight="1">
      <c r="A1240" s="22" t="str">
        <f t="shared" si="168"/>
        <v/>
      </c>
      <c r="B1240" s="23" t="str">
        <f>IF($E1240="","",214)</f>
        <v/>
      </c>
      <c r="C1240" s="24" t="str">
        <f>IF($E1240="","",Inputs!$B$9+(213*Inputs!$B$21))</f>
        <v/>
      </c>
      <c r="D1240" s="23" t="str">
        <f t="shared" si="169"/>
        <v/>
      </c>
      <c r="E1240" s="25" t="str">
        <f t="shared" si="170"/>
        <v/>
      </c>
      <c r="F1240" s="25" t="str">
        <f>IF($E1240="","",ROUND(MIN(Comparison!$E$5,MAX(0,$E1240+$H1239+$H1240-$M1239)),2))</f>
        <v/>
      </c>
      <c r="G1240" s="25" t="str">
        <f>IF($E1240="","",ROUND(MIN(Inputs!$B$10,MAX(0,$E1240+$H1239+$H1240-$M1239-$F1240)),2))</f>
        <v/>
      </c>
      <c r="H1240" s="25" t="str">
        <f>IF($E1240="","",ROUND(IF(Inputs!$B$12="Daily Simple Interest",$E1240*Inputs!$B$6/Inputs!$B$17*$D1240,$E1240*Inputs!$B$6/Inputs!$B$20),2))</f>
        <v/>
      </c>
      <c r="I1240" s="25" t="str">
        <f>IF($E1240="","",ROUND($L1240-$H1239-$H1240,2))</f>
        <v/>
      </c>
      <c r="J1240" s="25" t="str">
        <f>IF($E1240="","",IF($F1240+$G1240&gt;0,Inputs!$B$11,0))</f>
        <v/>
      </c>
      <c r="K1240" s="25" t="str">
        <f>IF($E1240="","",ROUND(MAX(0,$E1240-$I1240),2))</f>
        <v/>
      </c>
      <c r="L1240" s="25" t="str">
        <f>IF($E1240="","",$M1239+$F1240+$G1240)</f>
        <v/>
      </c>
      <c r="M1240" s="25" t="str">
        <f>IF($E1240="","",0)</f>
        <v/>
      </c>
      <c r="N1240" s="84" t="str">
        <f>IF($E1240="","",IF($K1240&lt;=0.005,"PAID OFF","POSTED"))</f>
        <v/>
      </c>
      <c r="O1240" s="23" t="str">
        <f t="shared" si="171"/>
        <v/>
      </c>
    </row>
    <row r="1241" spans="1:15" ht="20" customHeight="1">
      <c r="A1241" s="22" t="str">
        <f t="shared" si="168"/>
        <v/>
      </c>
      <c r="B1241" s="23" t="str">
        <f>IF($E1241="","",215)</f>
        <v/>
      </c>
      <c r="C1241" s="24" t="str">
        <f>IF($E1241="","",Inputs!$B$9+(214*Inputs!$B$21))</f>
        <v/>
      </c>
      <c r="D1241" s="23" t="str">
        <f t="shared" si="169"/>
        <v/>
      </c>
      <c r="E1241" s="25" t="str">
        <f t="shared" si="170"/>
        <v/>
      </c>
      <c r="F1241" s="25" t="str">
        <f>IF($E1241="","",ROUND(MIN(Comparison!$E$5,MAX(0,$E1241+$H1241)),2))</f>
        <v/>
      </c>
      <c r="G1241" s="25" t="str">
        <f>IF($E1241="","",ROUND(MIN(Inputs!$B$10,MAX(0,$E1241+$H1241-$F1241)),2))</f>
        <v/>
      </c>
      <c r="H1241" s="25" t="str">
        <f>IF($E1241="","",ROUND(IF(Inputs!$B$12="Daily Simple Interest",$E1241*Inputs!$B$6/Inputs!$B$17*$D1241,$E1241*Inputs!$B$6/Inputs!$B$20),2))</f>
        <v/>
      </c>
      <c r="I1241" s="25" t="str">
        <f>IF($E1241="","",0)</f>
        <v/>
      </c>
      <c r="J1241" s="25" t="str">
        <f>IF($E1241="","",IF($F1241+$G1241&gt;0,Inputs!$B$11,0))</f>
        <v/>
      </c>
      <c r="K1241" s="25" t="str">
        <f>IF($E1241="","",$E1241)</f>
        <v/>
      </c>
      <c r="L1241" s="25" t="str">
        <f>IF($E1241="","",0)</f>
        <v/>
      </c>
      <c r="M1241" s="25" t="str">
        <f>IF($E1241="","",$F1241+$G1241)</f>
        <v/>
      </c>
      <c r="N1241" s="84" t="str">
        <f>IF($E1241="","","HELD")</f>
        <v/>
      </c>
      <c r="O1241" s="23" t="str">
        <f t="shared" si="171"/>
        <v/>
      </c>
    </row>
    <row r="1242" spans="1:15" ht="20" customHeight="1">
      <c r="A1242" s="22" t="str">
        <f t="shared" si="168"/>
        <v/>
      </c>
      <c r="B1242" s="23" t="str">
        <f>IF($E1242="","",216)</f>
        <v/>
      </c>
      <c r="C1242" s="24" t="str">
        <f>IF($E1242="","",Inputs!$B$9+(215*Inputs!$B$21))</f>
        <v/>
      </c>
      <c r="D1242" s="23" t="str">
        <f t="shared" si="169"/>
        <v/>
      </c>
      <c r="E1242" s="25" t="str">
        <f t="shared" si="170"/>
        <v/>
      </c>
      <c r="F1242" s="25" t="str">
        <f>IF($E1242="","",ROUND(MIN(Comparison!$E$5,MAX(0,$E1242+$H1241+$H1242-$M1241)),2))</f>
        <v/>
      </c>
      <c r="G1242" s="25" t="str">
        <f>IF($E1242="","",ROUND(MIN(Inputs!$B$10,MAX(0,$E1242+$H1241+$H1242-$M1241-$F1242)),2))</f>
        <v/>
      </c>
      <c r="H1242" s="25" t="str">
        <f>IF($E1242="","",ROUND(IF(Inputs!$B$12="Daily Simple Interest",$E1242*Inputs!$B$6/Inputs!$B$17*$D1242,$E1242*Inputs!$B$6/Inputs!$B$20),2))</f>
        <v/>
      </c>
      <c r="I1242" s="25" t="str">
        <f>IF($E1242="","",ROUND($L1242-$H1241-$H1242,2))</f>
        <v/>
      </c>
      <c r="J1242" s="25" t="str">
        <f>IF($E1242="","",IF($F1242+$G1242&gt;0,Inputs!$B$11,0))</f>
        <v/>
      </c>
      <c r="K1242" s="25" t="str">
        <f>IF($E1242="","",ROUND(MAX(0,$E1242-$I1242),2))</f>
        <v/>
      </c>
      <c r="L1242" s="25" t="str">
        <f>IF($E1242="","",$M1241+$F1242+$G1242)</f>
        <v/>
      </c>
      <c r="M1242" s="25" t="str">
        <f>IF($E1242="","",0)</f>
        <v/>
      </c>
      <c r="N1242" s="84" t="str">
        <f>IF($E1242="","",IF($K1242&lt;=0.005,"PAID OFF","POSTED"))</f>
        <v/>
      </c>
      <c r="O1242" s="23" t="str">
        <f t="shared" si="171"/>
        <v/>
      </c>
    </row>
    <row r="1243" spans="1:15" ht="20" customHeight="1">
      <c r="A1243" s="22" t="str">
        <f t="shared" si="168"/>
        <v/>
      </c>
      <c r="B1243" s="23" t="str">
        <f>IF($E1243="","",217)</f>
        <v/>
      </c>
      <c r="C1243" s="24" t="str">
        <f>IF($E1243="","",Inputs!$B$9+(216*Inputs!$B$21))</f>
        <v/>
      </c>
      <c r="D1243" s="23" t="str">
        <f t="shared" si="169"/>
        <v/>
      </c>
      <c r="E1243" s="25" t="str">
        <f t="shared" si="170"/>
        <v/>
      </c>
      <c r="F1243" s="25" t="str">
        <f>IF($E1243="","",ROUND(MIN(Comparison!$E$5,MAX(0,$E1243+$H1243)),2))</f>
        <v/>
      </c>
      <c r="G1243" s="25" t="str">
        <f>IF($E1243="","",ROUND(MIN(Inputs!$B$10,MAX(0,$E1243+$H1243-$F1243)),2))</f>
        <v/>
      </c>
      <c r="H1243" s="25" t="str">
        <f>IF($E1243="","",ROUND(IF(Inputs!$B$12="Daily Simple Interest",$E1243*Inputs!$B$6/Inputs!$B$17*$D1243,$E1243*Inputs!$B$6/Inputs!$B$20),2))</f>
        <v/>
      </c>
      <c r="I1243" s="25" t="str">
        <f>IF($E1243="","",0)</f>
        <v/>
      </c>
      <c r="J1243" s="25" t="str">
        <f>IF($E1243="","",IF($F1243+$G1243&gt;0,Inputs!$B$11,0))</f>
        <v/>
      </c>
      <c r="K1243" s="25" t="str">
        <f>IF($E1243="","",$E1243)</f>
        <v/>
      </c>
      <c r="L1243" s="25" t="str">
        <f>IF($E1243="","",0)</f>
        <v/>
      </c>
      <c r="M1243" s="25" t="str">
        <f>IF($E1243="","",$F1243+$G1243)</f>
        <v/>
      </c>
      <c r="N1243" s="84" t="str">
        <f>IF($E1243="","","HELD")</f>
        <v/>
      </c>
      <c r="O1243" s="23" t="str">
        <f t="shared" si="171"/>
        <v/>
      </c>
    </row>
    <row r="1244" spans="1:15" ht="20" customHeight="1">
      <c r="A1244" s="22" t="str">
        <f t="shared" si="168"/>
        <v/>
      </c>
      <c r="B1244" s="23" t="str">
        <f>IF($E1244="","",218)</f>
        <v/>
      </c>
      <c r="C1244" s="24" t="str">
        <f>IF($E1244="","",Inputs!$B$9+(217*Inputs!$B$21))</f>
        <v/>
      </c>
      <c r="D1244" s="23" t="str">
        <f t="shared" si="169"/>
        <v/>
      </c>
      <c r="E1244" s="25" t="str">
        <f t="shared" si="170"/>
        <v/>
      </c>
      <c r="F1244" s="25" t="str">
        <f>IF($E1244="","",ROUND(MIN(Comparison!$E$5,MAX(0,$E1244+$H1243+$H1244-$M1243)),2))</f>
        <v/>
      </c>
      <c r="G1244" s="25" t="str">
        <f>IF($E1244="","",ROUND(MIN(Inputs!$B$10,MAX(0,$E1244+$H1243+$H1244-$M1243-$F1244)),2))</f>
        <v/>
      </c>
      <c r="H1244" s="25" t="str">
        <f>IF($E1244="","",ROUND(IF(Inputs!$B$12="Daily Simple Interest",$E1244*Inputs!$B$6/Inputs!$B$17*$D1244,$E1244*Inputs!$B$6/Inputs!$B$20),2))</f>
        <v/>
      </c>
      <c r="I1244" s="25" t="str">
        <f>IF($E1244="","",ROUND($L1244-$H1243-$H1244,2))</f>
        <v/>
      </c>
      <c r="J1244" s="25" t="str">
        <f>IF($E1244="","",IF($F1244+$G1244&gt;0,Inputs!$B$11,0))</f>
        <v/>
      </c>
      <c r="K1244" s="25" t="str">
        <f>IF($E1244="","",ROUND(MAX(0,$E1244-$I1244),2))</f>
        <v/>
      </c>
      <c r="L1244" s="25" t="str">
        <f>IF($E1244="","",$M1243+$F1244+$G1244)</f>
        <v/>
      </c>
      <c r="M1244" s="25" t="str">
        <f>IF($E1244="","",0)</f>
        <v/>
      </c>
      <c r="N1244" s="84" t="str">
        <f>IF($E1244="","",IF($K1244&lt;=0.005,"PAID OFF","POSTED"))</f>
        <v/>
      </c>
      <c r="O1244" s="23" t="str">
        <f t="shared" si="171"/>
        <v/>
      </c>
    </row>
    <row r="1245" spans="1:15" ht="20" customHeight="1">
      <c r="A1245" s="22" t="str">
        <f t="shared" si="168"/>
        <v/>
      </c>
      <c r="B1245" s="23" t="str">
        <f>IF($E1245="","",219)</f>
        <v/>
      </c>
      <c r="C1245" s="24" t="str">
        <f>IF($E1245="","",Inputs!$B$9+(218*Inputs!$B$21))</f>
        <v/>
      </c>
      <c r="D1245" s="23" t="str">
        <f t="shared" si="169"/>
        <v/>
      </c>
      <c r="E1245" s="25" t="str">
        <f t="shared" si="170"/>
        <v/>
      </c>
      <c r="F1245" s="25" t="str">
        <f>IF($E1245="","",ROUND(MIN(Comparison!$E$5,MAX(0,$E1245+$H1245)),2))</f>
        <v/>
      </c>
      <c r="G1245" s="25" t="str">
        <f>IF($E1245="","",ROUND(MIN(Inputs!$B$10,MAX(0,$E1245+$H1245-$F1245)),2))</f>
        <v/>
      </c>
      <c r="H1245" s="25" t="str">
        <f>IF($E1245="","",ROUND(IF(Inputs!$B$12="Daily Simple Interest",$E1245*Inputs!$B$6/Inputs!$B$17*$D1245,$E1245*Inputs!$B$6/Inputs!$B$20),2))</f>
        <v/>
      </c>
      <c r="I1245" s="25" t="str">
        <f>IF($E1245="","",0)</f>
        <v/>
      </c>
      <c r="J1245" s="25" t="str">
        <f>IF($E1245="","",IF($F1245+$G1245&gt;0,Inputs!$B$11,0))</f>
        <v/>
      </c>
      <c r="K1245" s="25" t="str">
        <f>IF($E1245="","",$E1245)</f>
        <v/>
      </c>
      <c r="L1245" s="25" t="str">
        <f>IF($E1245="","",0)</f>
        <v/>
      </c>
      <c r="M1245" s="25" t="str">
        <f>IF($E1245="","",$F1245+$G1245)</f>
        <v/>
      </c>
      <c r="N1245" s="84" t="str">
        <f>IF($E1245="","","HELD")</f>
        <v/>
      </c>
      <c r="O1245" s="23" t="str">
        <f t="shared" si="171"/>
        <v/>
      </c>
    </row>
    <row r="1246" spans="1:15" ht="20" customHeight="1">
      <c r="A1246" s="22" t="str">
        <f t="shared" si="168"/>
        <v/>
      </c>
      <c r="B1246" s="23" t="str">
        <f>IF($E1246="","",220)</f>
        <v/>
      </c>
      <c r="C1246" s="24" t="str">
        <f>IF($E1246="","",Inputs!$B$9+(219*Inputs!$B$21))</f>
        <v/>
      </c>
      <c r="D1246" s="23" t="str">
        <f t="shared" si="169"/>
        <v/>
      </c>
      <c r="E1246" s="25" t="str">
        <f t="shared" si="170"/>
        <v/>
      </c>
      <c r="F1246" s="25" t="str">
        <f>IF($E1246="","",ROUND(MIN(Comparison!$E$5,MAX(0,$E1246+$H1245+$H1246-$M1245)),2))</f>
        <v/>
      </c>
      <c r="G1246" s="25" t="str">
        <f>IF($E1246="","",ROUND(MIN(Inputs!$B$10,MAX(0,$E1246+$H1245+$H1246-$M1245-$F1246)),2))</f>
        <v/>
      </c>
      <c r="H1246" s="25" t="str">
        <f>IF($E1246="","",ROUND(IF(Inputs!$B$12="Daily Simple Interest",$E1246*Inputs!$B$6/Inputs!$B$17*$D1246,$E1246*Inputs!$B$6/Inputs!$B$20),2))</f>
        <v/>
      </c>
      <c r="I1246" s="25" t="str">
        <f>IF($E1246="","",ROUND($L1246-$H1245-$H1246,2))</f>
        <v/>
      </c>
      <c r="J1246" s="25" t="str">
        <f>IF($E1246="","",IF($F1246+$G1246&gt;0,Inputs!$B$11,0))</f>
        <v/>
      </c>
      <c r="K1246" s="25" t="str">
        <f>IF($E1246="","",ROUND(MAX(0,$E1246-$I1246),2))</f>
        <v/>
      </c>
      <c r="L1246" s="25" t="str">
        <f>IF($E1246="","",$M1245+$F1246+$G1246)</f>
        <v/>
      </c>
      <c r="M1246" s="25" t="str">
        <f>IF($E1246="","",0)</f>
        <v/>
      </c>
      <c r="N1246" s="84" t="str">
        <f>IF($E1246="","",IF($K1246&lt;=0.005,"PAID OFF","POSTED"))</f>
        <v/>
      </c>
      <c r="O1246" s="23" t="str">
        <f t="shared" si="171"/>
        <v/>
      </c>
    </row>
    <row r="1247" spans="1:15" ht="20" customHeight="1">
      <c r="A1247" s="22" t="str">
        <f t="shared" si="168"/>
        <v/>
      </c>
      <c r="B1247" s="23" t="str">
        <f>IF($E1247="","",221)</f>
        <v/>
      </c>
      <c r="C1247" s="24" t="str">
        <f>IF($E1247="","",Inputs!$B$9+(220*Inputs!$B$21))</f>
        <v/>
      </c>
      <c r="D1247" s="23" t="str">
        <f t="shared" si="169"/>
        <v/>
      </c>
      <c r="E1247" s="25" t="str">
        <f t="shared" si="170"/>
        <v/>
      </c>
      <c r="F1247" s="25" t="str">
        <f>IF($E1247="","",ROUND(MIN(Comparison!$E$5,MAX(0,$E1247+$H1247)),2))</f>
        <v/>
      </c>
      <c r="G1247" s="25" t="str">
        <f>IF($E1247="","",ROUND(MIN(Inputs!$B$10,MAX(0,$E1247+$H1247-$F1247)),2))</f>
        <v/>
      </c>
      <c r="H1247" s="25" t="str">
        <f>IF($E1247="","",ROUND(IF(Inputs!$B$12="Daily Simple Interest",$E1247*Inputs!$B$6/Inputs!$B$17*$D1247,$E1247*Inputs!$B$6/Inputs!$B$20),2))</f>
        <v/>
      </c>
      <c r="I1247" s="25" t="str">
        <f>IF($E1247="","",0)</f>
        <v/>
      </c>
      <c r="J1247" s="25" t="str">
        <f>IF($E1247="","",IF($F1247+$G1247&gt;0,Inputs!$B$11,0))</f>
        <v/>
      </c>
      <c r="K1247" s="25" t="str">
        <f>IF($E1247="","",$E1247)</f>
        <v/>
      </c>
      <c r="L1247" s="25" t="str">
        <f>IF($E1247="","",0)</f>
        <v/>
      </c>
      <c r="M1247" s="25" t="str">
        <f>IF($E1247="","",$F1247+$G1247)</f>
        <v/>
      </c>
      <c r="N1247" s="84" t="str">
        <f>IF($E1247="","","HELD")</f>
        <v/>
      </c>
      <c r="O1247" s="23" t="str">
        <f t="shared" si="171"/>
        <v/>
      </c>
    </row>
    <row r="1248" spans="1:15" ht="20" customHeight="1">
      <c r="A1248" s="22" t="str">
        <f t="shared" si="168"/>
        <v/>
      </c>
      <c r="B1248" s="23" t="str">
        <f>IF($E1248="","",222)</f>
        <v/>
      </c>
      <c r="C1248" s="24" t="str">
        <f>IF($E1248="","",Inputs!$B$9+(221*Inputs!$B$21))</f>
        <v/>
      </c>
      <c r="D1248" s="23" t="str">
        <f t="shared" si="169"/>
        <v/>
      </c>
      <c r="E1248" s="25" t="str">
        <f t="shared" si="170"/>
        <v/>
      </c>
      <c r="F1248" s="25" t="str">
        <f>IF($E1248="","",ROUND(MIN(Comparison!$E$5,MAX(0,$E1248+$H1247+$H1248-$M1247)),2))</f>
        <v/>
      </c>
      <c r="G1248" s="25" t="str">
        <f>IF($E1248="","",ROUND(MIN(Inputs!$B$10,MAX(0,$E1248+$H1247+$H1248-$M1247-$F1248)),2))</f>
        <v/>
      </c>
      <c r="H1248" s="25" t="str">
        <f>IF($E1248="","",ROUND(IF(Inputs!$B$12="Daily Simple Interest",$E1248*Inputs!$B$6/Inputs!$B$17*$D1248,$E1248*Inputs!$B$6/Inputs!$B$20),2))</f>
        <v/>
      </c>
      <c r="I1248" s="25" t="str">
        <f>IF($E1248="","",ROUND($L1248-$H1247-$H1248,2))</f>
        <v/>
      </c>
      <c r="J1248" s="25" t="str">
        <f>IF($E1248="","",IF($F1248+$G1248&gt;0,Inputs!$B$11,0))</f>
        <v/>
      </c>
      <c r="K1248" s="25" t="str">
        <f>IF($E1248="","",ROUND(MAX(0,$E1248-$I1248),2))</f>
        <v/>
      </c>
      <c r="L1248" s="25" t="str">
        <f>IF($E1248="","",$M1247+$F1248+$G1248)</f>
        <v/>
      </c>
      <c r="M1248" s="25" t="str">
        <f>IF($E1248="","",0)</f>
        <v/>
      </c>
      <c r="N1248" s="84" t="str">
        <f>IF($E1248="","",IF($K1248&lt;=0.005,"PAID OFF","POSTED"))</f>
        <v/>
      </c>
      <c r="O1248" s="23" t="str">
        <f t="shared" si="171"/>
        <v/>
      </c>
    </row>
    <row r="1249" spans="1:15" ht="20" customHeight="1">
      <c r="A1249" s="22" t="str">
        <f t="shared" si="168"/>
        <v/>
      </c>
      <c r="B1249" s="23" t="str">
        <f>IF($E1249="","",223)</f>
        <v/>
      </c>
      <c r="C1249" s="24" t="str">
        <f>IF($E1249="","",Inputs!$B$9+(222*Inputs!$B$21))</f>
        <v/>
      </c>
      <c r="D1249" s="23" t="str">
        <f t="shared" si="169"/>
        <v/>
      </c>
      <c r="E1249" s="25" t="str">
        <f t="shared" si="170"/>
        <v/>
      </c>
      <c r="F1249" s="25" t="str">
        <f>IF($E1249="","",ROUND(MIN(Comparison!$E$5,MAX(0,$E1249+$H1249)),2))</f>
        <v/>
      </c>
      <c r="G1249" s="25" t="str">
        <f>IF($E1249="","",ROUND(MIN(Inputs!$B$10,MAX(0,$E1249+$H1249-$F1249)),2))</f>
        <v/>
      </c>
      <c r="H1249" s="25" t="str">
        <f>IF($E1249="","",ROUND(IF(Inputs!$B$12="Daily Simple Interest",$E1249*Inputs!$B$6/Inputs!$B$17*$D1249,$E1249*Inputs!$B$6/Inputs!$B$20),2))</f>
        <v/>
      </c>
      <c r="I1249" s="25" t="str">
        <f>IF($E1249="","",0)</f>
        <v/>
      </c>
      <c r="J1249" s="25" t="str">
        <f>IF($E1249="","",IF($F1249+$G1249&gt;0,Inputs!$B$11,0))</f>
        <v/>
      </c>
      <c r="K1249" s="25" t="str">
        <f>IF($E1249="","",$E1249)</f>
        <v/>
      </c>
      <c r="L1249" s="25" t="str">
        <f>IF($E1249="","",0)</f>
        <v/>
      </c>
      <c r="M1249" s="25" t="str">
        <f>IF($E1249="","",$F1249+$G1249)</f>
        <v/>
      </c>
      <c r="N1249" s="84" t="str">
        <f>IF($E1249="","","HELD")</f>
        <v/>
      </c>
      <c r="O1249" s="23" t="str">
        <f t="shared" si="171"/>
        <v/>
      </c>
    </row>
    <row r="1250" spans="1:15" ht="20" customHeight="1">
      <c r="A1250" s="22" t="str">
        <f t="shared" si="168"/>
        <v/>
      </c>
      <c r="B1250" s="23" t="str">
        <f>IF($E1250="","",224)</f>
        <v/>
      </c>
      <c r="C1250" s="24" t="str">
        <f>IF($E1250="","",Inputs!$B$9+(223*Inputs!$B$21))</f>
        <v/>
      </c>
      <c r="D1250" s="23" t="str">
        <f t="shared" si="169"/>
        <v/>
      </c>
      <c r="E1250" s="25" t="str">
        <f t="shared" si="170"/>
        <v/>
      </c>
      <c r="F1250" s="25" t="str">
        <f>IF($E1250="","",ROUND(MIN(Comparison!$E$5,MAX(0,$E1250+$H1249+$H1250-$M1249)),2))</f>
        <v/>
      </c>
      <c r="G1250" s="25" t="str">
        <f>IF($E1250="","",ROUND(MIN(Inputs!$B$10,MAX(0,$E1250+$H1249+$H1250-$M1249-$F1250)),2))</f>
        <v/>
      </c>
      <c r="H1250" s="25" t="str">
        <f>IF($E1250="","",ROUND(IF(Inputs!$B$12="Daily Simple Interest",$E1250*Inputs!$B$6/Inputs!$B$17*$D1250,$E1250*Inputs!$B$6/Inputs!$B$20),2))</f>
        <v/>
      </c>
      <c r="I1250" s="25" t="str">
        <f>IF($E1250="","",ROUND($L1250-$H1249-$H1250,2))</f>
        <v/>
      </c>
      <c r="J1250" s="25" t="str">
        <f>IF($E1250="","",IF($F1250+$G1250&gt;0,Inputs!$B$11,0))</f>
        <v/>
      </c>
      <c r="K1250" s="25" t="str">
        <f>IF($E1250="","",ROUND(MAX(0,$E1250-$I1250),2))</f>
        <v/>
      </c>
      <c r="L1250" s="25" t="str">
        <f>IF($E1250="","",$M1249+$F1250+$G1250)</f>
        <v/>
      </c>
      <c r="M1250" s="25" t="str">
        <f>IF($E1250="","",0)</f>
        <v/>
      </c>
      <c r="N1250" s="84" t="str">
        <f>IF($E1250="","",IF($K1250&lt;=0.005,"PAID OFF","POSTED"))</f>
        <v/>
      </c>
      <c r="O1250" s="23" t="str">
        <f t="shared" si="171"/>
        <v/>
      </c>
    </row>
    <row r="1251" spans="1:15" ht="20" customHeight="1">
      <c r="A1251" s="22" t="str">
        <f t="shared" si="168"/>
        <v/>
      </c>
      <c r="B1251" s="23" t="str">
        <f>IF($E1251="","",225)</f>
        <v/>
      </c>
      <c r="C1251" s="24" t="str">
        <f>IF($E1251="","",Inputs!$B$9+(224*Inputs!$B$21))</f>
        <v/>
      </c>
      <c r="D1251" s="23" t="str">
        <f t="shared" si="169"/>
        <v/>
      </c>
      <c r="E1251" s="25" t="str">
        <f t="shared" si="170"/>
        <v/>
      </c>
      <c r="F1251" s="25" t="str">
        <f>IF($E1251="","",ROUND(MIN(Comparison!$E$5,MAX(0,$E1251+$H1251)),2))</f>
        <v/>
      </c>
      <c r="G1251" s="25" t="str">
        <f>IF($E1251="","",ROUND(MIN(Inputs!$B$10,MAX(0,$E1251+$H1251-$F1251)),2))</f>
        <v/>
      </c>
      <c r="H1251" s="25" t="str">
        <f>IF($E1251="","",ROUND(IF(Inputs!$B$12="Daily Simple Interest",$E1251*Inputs!$B$6/Inputs!$B$17*$D1251,$E1251*Inputs!$B$6/Inputs!$B$20),2))</f>
        <v/>
      </c>
      <c r="I1251" s="25" t="str">
        <f>IF($E1251="","",0)</f>
        <v/>
      </c>
      <c r="J1251" s="25" t="str">
        <f>IF($E1251="","",IF($F1251+$G1251&gt;0,Inputs!$B$11,0))</f>
        <v/>
      </c>
      <c r="K1251" s="25" t="str">
        <f>IF($E1251="","",$E1251)</f>
        <v/>
      </c>
      <c r="L1251" s="25" t="str">
        <f>IF($E1251="","",0)</f>
        <v/>
      </c>
      <c r="M1251" s="25" t="str">
        <f>IF($E1251="","",$F1251+$G1251)</f>
        <v/>
      </c>
      <c r="N1251" s="84" t="str">
        <f>IF($E1251="","","HELD")</f>
        <v/>
      </c>
      <c r="O1251" s="23" t="str">
        <f t="shared" si="171"/>
        <v/>
      </c>
    </row>
    <row r="1252" spans="1:15" ht="20" customHeight="1">
      <c r="A1252" s="22" t="str">
        <f t="shared" si="168"/>
        <v/>
      </c>
      <c r="B1252" s="23" t="str">
        <f>IF($E1252="","",226)</f>
        <v/>
      </c>
      <c r="C1252" s="24" t="str">
        <f>IF($E1252="","",Inputs!$B$9+(225*Inputs!$B$21))</f>
        <v/>
      </c>
      <c r="D1252" s="23" t="str">
        <f t="shared" si="169"/>
        <v/>
      </c>
      <c r="E1252" s="25" t="str">
        <f t="shared" si="170"/>
        <v/>
      </c>
      <c r="F1252" s="25" t="str">
        <f>IF($E1252="","",ROUND(MIN(Comparison!$E$5,MAX(0,$E1252+$H1251+$H1252-$M1251)),2))</f>
        <v/>
      </c>
      <c r="G1252" s="25" t="str">
        <f>IF($E1252="","",ROUND(MIN(Inputs!$B$10,MAX(0,$E1252+$H1251+$H1252-$M1251-$F1252)),2))</f>
        <v/>
      </c>
      <c r="H1252" s="25" t="str">
        <f>IF($E1252="","",ROUND(IF(Inputs!$B$12="Daily Simple Interest",$E1252*Inputs!$B$6/Inputs!$B$17*$D1252,$E1252*Inputs!$B$6/Inputs!$B$20),2))</f>
        <v/>
      </c>
      <c r="I1252" s="25" t="str">
        <f>IF($E1252="","",ROUND($L1252-$H1251-$H1252,2))</f>
        <v/>
      </c>
      <c r="J1252" s="25" t="str">
        <f>IF($E1252="","",IF($F1252+$G1252&gt;0,Inputs!$B$11,0))</f>
        <v/>
      </c>
      <c r="K1252" s="25" t="str">
        <f>IF($E1252="","",ROUND(MAX(0,$E1252-$I1252),2))</f>
        <v/>
      </c>
      <c r="L1252" s="25" t="str">
        <f>IF($E1252="","",$M1251+$F1252+$G1252)</f>
        <v/>
      </c>
      <c r="M1252" s="25" t="str">
        <f>IF($E1252="","",0)</f>
        <v/>
      </c>
      <c r="N1252" s="84" t="str">
        <f>IF($E1252="","",IF($K1252&lt;=0.005,"PAID OFF","POSTED"))</f>
        <v/>
      </c>
      <c r="O1252" s="23" t="str">
        <f t="shared" si="171"/>
        <v/>
      </c>
    </row>
    <row r="1253" spans="1:15" ht="20" customHeight="1">
      <c r="A1253" s="22" t="str">
        <f t="shared" si="168"/>
        <v/>
      </c>
      <c r="B1253" s="23" t="str">
        <f>IF($E1253="","",227)</f>
        <v/>
      </c>
      <c r="C1253" s="24" t="str">
        <f>IF($E1253="","",Inputs!$B$9+(226*Inputs!$B$21))</f>
        <v/>
      </c>
      <c r="D1253" s="23" t="str">
        <f t="shared" si="169"/>
        <v/>
      </c>
      <c r="E1253" s="25" t="str">
        <f t="shared" si="170"/>
        <v/>
      </c>
      <c r="F1253" s="25" t="str">
        <f>IF($E1253="","",ROUND(MIN(Comparison!$E$5,MAX(0,$E1253+$H1253)),2))</f>
        <v/>
      </c>
      <c r="G1253" s="25" t="str">
        <f>IF($E1253="","",ROUND(MIN(Inputs!$B$10,MAX(0,$E1253+$H1253-$F1253)),2))</f>
        <v/>
      </c>
      <c r="H1253" s="25" t="str">
        <f>IF($E1253="","",ROUND(IF(Inputs!$B$12="Daily Simple Interest",$E1253*Inputs!$B$6/Inputs!$B$17*$D1253,$E1253*Inputs!$B$6/Inputs!$B$20),2))</f>
        <v/>
      </c>
      <c r="I1253" s="25" t="str">
        <f>IF($E1253="","",0)</f>
        <v/>
      </c>
      <c r="J1253" s="25" t="str">
        <f>IF($E1253="","",IF($F1253+$G1253&gt;0,Inputs!$B$11,0))</f>
        <v/>
      </c>
      <c r="K1253" s="25" t="str">
        <f>IF($E1253="","",$E1253)</f>
        <v/>
      </c>
      <c r="L1253" s="25" t="str">
        <f>IF($E1253="","",0)</f>
        <v/>
      </c>
      <c r="M1253" s="25" t="str">
        <f>IF($E1253="","",$F1253+$G1253)</f>
        <v/>
      </c>
      <c r="N1253" s="84" t="str">
        <f>IF($E1253="","","HELD")</f>
        <v/>
      </c>
      <c r="O1253" s="23" t="str">
        <f t="shared" si="171"/>
        <v/>
      </c>
    </row>
    <row r="1254" spans="1:15" ht="20" customHeight="1">
      <c r="A1254" s="22" t="str">
        <f t="shared" si="168"/>
        <v/>
      </c>
      <c r="B1254" s="23" t="str">
        <f>IF($E1254="","",228)</f>
        <v/>
      </c>
      <c r="C1254" s="24" t="str">
        <f>IF($E1254="","",Inputs!$B$9+(227*Inputs!$B$21))</f>
        <v/>
      </c>
      <c r="D1254" s="23" t="str">
        <f t="shared" si="169"/>
        <v/>
      </c>
      <c r="E1254" s="25" t="str">
        <f t="shared" si="170"/>
        <v/>
      </c>
      <c r="F1254" s="25" t="str">
        <f>IF($E1254="","",ROUND(MIN(Comparison!$E$5,MAX(0,$E1254+$H1253+$H1254-$M1253)),2))</f>
        <v/>
      </c>
      <c r="G1254" s="25" t="str">
        <f>IF($E1254="","",ROUND(MIN(Inputs!$B$10,MAX(0,$E1254+$H1253+$H1254-$M1253-$F1254)),2))</f>
        <v/>
      </c>
      <c r="H1254" s="25" t="str">
        <f>IF($E1254="","",ROUND(IF(Inputs!$B$12="Daily Simple Interest",$E1254*Inputs!$B$6/Inputs!$B$17*$D1254,$E1254*Inputs!$B$6/Inputs!$B$20),2))</f>
        <v/>
      </c>
      <c r="I1254" s="25" t="str">
        <f>IF($E1254="","",ROUND($L1254-$H1253-$H1254,2))</f>
        <v/>
      </c>
      <c r="J1254" s="25" t="str">
        <f>IF($E1254="","",IF($F1254+$G1254&gt;0,Inputs!$B$11,0))</f>
        <v/>
      </c>
      <c r="K1254" s="25" t="str">
        <f>IF($E1254="","",ROUND(MAX(0,$E1254-$I1254),2))</f>
        <v/>
      </c>
      <c r="L1254" s="25" t="str">
        <f>IF($E1254="","",$M1253+$F1254+$G1254)</f>
        <v/>
      </c>
      <c r="M1254" s="25" t="str">
        <f>IF($E1254="","",0)</f>
        <v/>
      </c>
      <c r="N1254" s="84" t="str">
        <f>IF($E1254="","",IF($K1254&lt;=0.005,"PAID OFF","POSTED"))</f>
        <v/>
      </c>
      <c r="O1254" s="23" t="str">
        <f t="shared" si="171"/>
        <v/>
      </c>
    </row>
    <row r="1255" spans="1:15" ht="20" customHeight="1">
      <c r="A1255" s="22" t="str">
        <f t="shared" si="168"/>
        <v/>
      </c>
      <c r="B1255" s="23" t="str">
        <f>IF($E1255="","",229)</f>
        <v/>
      </c>
      <c r="C1255" s="24" t="str">
        <f>IF($E1255="","",Inputs!$B$9+(228*Inputs!$B$21))</f>
        <v/>
      </c>
      <c r="D1255" s="23" t="str">
        <f t="shared" si="169"/>
        <v/>
      </c>
      <c r="E1255" s="25" t="str">
        <f t="shared" si="170"/>
        <v/>
      </c>
      <c r="F1255" s="25" t="str">
        <f>IF($E1255="","",ROUND(MIN(Comparison!$E$5,MAX(0,$E1255+$H1255)),2))</f>
        <v/>
      </c>
      <c r="G1255" s="25" t="str">
        <f>IF($E1255="","",ROUND(MIN(Inputs!$B$10,MAX(0,$E1255+$H1255-$F1255)),2))</f>
        <v/>
      </c>
      <c r="H1255" s="25" t="str">
        <f>IF($E1255="","",ROUND(IF(Inputs!$B$12="Daily Simple Interest",$E1255*Inputs!$B$6/Inputs!$B$17*$D1255,$E1255*Inputs!$B$6/Inputs!$B$20),2))</f>
        <v/>
      </c>
      <c r="I1255" s="25" t="str">
        <f>IF($E1255="","",0)</f>
        <v/>
      </c>
      <c r="J1255" s="25" t="str">
        <f>IF($E1255="","",IF($F1255+$G1255&gt;0,Inputs!$B$11,0))</f>
        <v/>
      </c>
      <c r="K1255" s="25" t="str">
        <f>IF($E1255="","",$E1255)</f>
        <v/>
      </c>
      <c r="L1255" s="25" t="str">
        <f>IF($E1255="","",0)</f>
        <v/>
      </c>
      <c r="M1255" s="25" t="str">
        <f>IF($E1255="","",$F1255+$G1255)</f>
        <v/>
      </c>
      <c r="N1255" s="84" t="str">
        <f>IF($E1255="","","HELD")</f>
        <v/>
      </c>
      <c r="O1255" s="23" t="str">
        <f t="shared" si="171"/>
        <v/>
      </c>
    </row>
    <row r="1256" spans="1:15" ht="20" customHeight="1">
      <c r="A1256" s="22" t="str">
        <f t="shared" si="168"/>
        <v/>
      </c>
      <c r="B1256" s="23" t="str">
        <f>IF($E1256="","",230)</f>
        <v/>
      </c>
      <c r="C1256" s="24" t="str">
        <f>IF($E1256="","",Inputs!$B$9+(229*Inputs!$B$21))</f>
        <v/>
      </c>
      <c r="D1256" s="23" t="str">
        <f t="shared" si="169"/>
        <v/>
      </c>
      <c r="E1256" s="25" t="str">
        <f t="shared" si="170"/>
        <v/>
      </c>
      <c r="F1256" s="25" t="str">
        <f>IF($E1256="","",ROUND(MIN(Comparison!$E$5,MAX(0,$E1256+$H1255+$H1256-$M1255)),2))</f>
        <v/>
      </c>
      <c r="G1256" s="25" t="str">
        <f>IF($E1256="","",ROUND(MIN(Inputs!$B$10,MAX(0,$E1256+$H1255+$H1256-$M1255-$F1256)),2))</f>
        <v/>
      </c>
      <c r="H1256" s="25" t="str">
        <f>IF($E1256="","",ROUND(IF(Inputs!$B$12="Daily Simple Interest",$E1256*Inputs!$B$6/Inputs!$B$17*$D1256,$E1256*Inputs!$B$6/Inputs!$B$20),2))</f>
        <v/>
      </c>
      <c r="I1256" s="25" t="str">
        <f>IF($E1256="","",ROUND($L1256-$H1255-$H1256,2))</f>
        <v/>
      </c>
      <c r="J1256" s="25" t="str">
        <f>IF($E1256="","",IF($F1256+$G1256&gt;0,Inputs!$B$11,0))</f>
        <v/>
      </c>
      <c r="K1256" s="25" t="str">
        <f>IF($E1256="","",ROUND(MAX(0,$E1256-$I1256),2))</f>
        <v/>
      </c>
      <c r="L1256" s="25" t="str">
        <f>IF($E1256="","",$M1255+$F1256+$G1256)</f>
        <v/>
      </c>
      <c r="M1256" s="25" t="str">
        <f>IF($E1256="","",0)</f>
        <v/>
      </c>
      <c r="N1256" s="84" t="str">
        <f>IF($E1256="","",IF($K1256&lt;=0.005,"PAID OFF","POSTED"))</f>
        <v/>
      </c>
      <c r="O1256" s="23" t="str">
        <f t="shared" si="171"/>
        <v/>
      </c>
    </row>
    <row r="1257" spans="1:15" ht="20" customHeight="1">
      <c r="A1257" s="22" t="str">
        <f t="shared" si="168"/>
        <v/>
      </c>
      <c r="B1257" s="23" t="str">
        <f>IF($E1257="","",231)</f>
        <v/>
      </c>
      <c r="C1257" s="24" t="str">
        <f>IF($E1257="","",Inputs!$B$9+(230*Inputs!$B$21))</f>
        <v/>
      </c>
      <c r="D1257" s="23" t="str">
        <f t="shared" si="169"/>
        <v/>
      </c>
      <c r="E1257" s="25" t="str">
        <f t="shared" si="170"/>
        <v/>
      </c>
      <c r="F1257" s="25" t="str">
        <f>IF($E1257="","",ROUND(MIN(Comparison!$E$5,MAX(0,$E1257+$H1257)),2))</f>
        <v/>
      </c>
      <c r="G1257" s="25" t="str">
        <f>IF($E1257="","",ROUND(MIN(Inputs!$B$10,MAX(0,$E1257+$H1257-$F1257)),2))</f>
        <v/>
      </c>
      <c r="H1257" s="25" t="str">
        <f>IF($E1257="","",ROUND(IF(Inputs!$B$12="Daily Simple Interest",$E1257*Inputs!$B$6/Inputs!$B$17*$D1257,$E1257*Inputs!$B$6/Inputs!$B$20),2))</f>
        <v/>
      </c>
      <c r="I1257" s="25" t="str">
        <f>IF($E1257="","",0)</f>
        <v/>
      </c>
      <c r="J1257" s="25" t="str">
        <f>IF($E1257="","",IF($F1257+$G1257&gt;0,Inputs!$B$11,0))</f>
        <v/>
      </c>
      <c r="K1257" s="25" t="str">
        <f>IF($E1257="","",$E1257)</f>
        <v/>
      </c>
      <c r="L1257" s="25" t="str">
        <f>IF($E1257="","",0)</f>
        <v/>
      </c>
      <c r="M1257" s="25" t="str">
        <f>IF($E1257="","",$F1257+$G1257)</f>
        <v/>
      </c>
      <c r="N1257" s="84" t="str">
        <f>IF($E1257="","","HELD")</f>
        <v/>
      </c>
      <c r="O1257" s="23" t="str">
        <f t="shared" si="171"/>
        <v/>
      </c>
    </row>
    <row r="1258" spans="1:15" ht="20" customHeight="1">
      <c r="A1258" s="22" t="str">
        <f t="shared" si="168"/>
        <v/>
      </c>
      <c r="B1258" s="23" t="str">
        <f>IF($E1258="","",232)</f>
        <v/>
      </c>
      <c r="C1258" s="24" t="str">
        <f>IF($E1258="","",Inputs!$B$9+(231*Inputs!$B$21))</f>
        <v/>
      </c>
      <c r="D1258" s="23" t="str">
        <f t="shared" si="169"/>
        <v/>
      </c>
      <c r="E1258" s="25" t="str">
        <f t="shared" si="170"/>
        <v/>
      </c>
      <c r="F1258" s="25" t="str">
        <f>IF($E1258="","",ROUND(MIN(Comparison!$E$5,MAX(0,$E1258+$H1257+$H1258-$M1257)),2))</f>
        <v/>
      </c>
      <c r="G1258" s="25" t="str">
        <f>IF($E1258="","",ROUND(MIN(Inputs!$B$10,MAX(0,$E1258+$H1257+$H1258-$M1257-$F1258)),2))</f>
        <v/>
      </c>
      <c r="H1258" s="25" t="str">
        <f>IF($E1258="","",ROUND(IF(Inputs!$B$12="Daily Simple Interest",$E1258*Inputs!$B$6/Inputs!$B$17*$D1258,$E1258*Inputs!$B$6/Inputs!$B$20),2))</f>
        <v/>
      </c>
      <c r="I1258" s="25" t="str">
        <f>IF($E1258="","",ROUND($L1258-$H1257-$H1258,2))</f>
        <v/>
      </c>
      <c r="J1258" s="25" t="str">
        <f>IF($E1258="","",IF($F1258+$G1258&gt;0,Inputs!$B$11,0))</f>
        <v/>
      </c>
      <c r="K1258" s="25" t="str">
        <f>IF($E1258="","",ROUND(MAX(0,$E1258-$I1258),2))</f>
        <v/>
      </c>
      <c r="L1258" s="25" t="str">
        <f>IF($E1258="","",$M1257+$F1258+$G1258)</f>
        <v/>
      </c>
      <c r="M1258" s="25" t="str">
        <f>IF($E1258="","",0)</f>
        <v/>
      </c>
      <c r="N1258" s="84" t="str">
        <f>IF($E1258="","",IF($K1258&lt;=0.005,"PAID OFF","POSTED"))</f>
        <v/>
      </c>
      <c r="O1258" s="23" t="str">
        <f t="shared" si="171"/>
        <v/>
      </c>
    </row>
    <row r="1259" spans="1:15" ht="20" customHeight="1">
      <c r="A1259" s="22" t="str">
        <f t="shared" si="168"/>
        <v/>
      </c>
      <c r="B1259" s="23" t="str">
        <f>IF($E1259="","",233)</f>
        <v/>
      </c>
      <c r="C1259" s="24" t="str">
        <f>IF($E1259="","",Inputs!$B$9+(232*Inputs!$B$21))</f>
        <v/>
      </c>
      <c r="D1259" s="23" t="str">
        <f t="shared" si="169"/>
        <v/>
      </c>
      <c r="E1259" s="25" t="str">
        <f t="shared" si="170"/>
        <v/>
      </c>
      <c r="F1259" s="25" t="str">
        <f>IF($E1259="","",ROUND(MIN(Comparison!$E$5,MAX(0,$E1259+$H1259)),2))</f>
        <v/>
      </c>
      <c r="G1259" s="25" t="str">
        <f>IF($E1259="","",ROUND(MIN(Inputs!$B$10,MAX(0,$E1259+$H1259-$F1259)),2))</f>
        <v/>
      </c>
      <c r="H1259" s="25" t="str">
        <f>IF($E1259="","",ROUND(IF(Inputs!$B$12="Daily Simple Interest",$E1259*Inputs!$B$6/Inputs!$B$17*$D1259,$E1259*Inputs!$B$6/Inputs!$B$20),2))</f>
        <v/>
      </c>
      <c r="I1259" s="25" t="str">
        <f>IF($E1259="","",0)</f>
        <v/>
      </c>
      <c r="J1259" s="25" t="str">
        <f>IF($E1259="","",IF($F1259+$G1259&gt;0,Inputs!$B$11,0))</f>
        <v/>
      </c>
      <c r="K1259" s="25" t="str">
        <f>IF($E1259="","",$E1259)</f>
        <v/>
      </c>
      <c r="L1259" s="25" t="str">
        <f>IF($E1259="","",0)</f>
        <v/>
      </c>
      <c r="M1259" s="25" t="str">
        <f>IF($E1259="","",$F1259+$G1259)</f>
        <v/>
      </c>
      <c r="N1259" s="84" t="str">
        <f>IF($E1259="","","HELD")</f>
        <v/>
      </c>
      <c r="O1259" s="23" t="str">
        <f t="shared" si="171"/>
        <v/>
      </c>
    </row>
    <row r="1260" spans="1:15" ht="20" customHeight="1">
      <c r="A1260" s="22" t="str">
        <f t="shared" si="168"/>
        <v/>
      </c>
      <c r="B1260" s="23" t="str">
        <f>IF($E1260="","",234)</f>
        <v/>
      </c>
      <c r="C1260" s="24" t="str">
        <f>IF($E1260="","",Inputs!$B$9+(233*Inputs!$B$21))</f>
        <v/>
      </c>
      <c r="D1260" s="23" t="str">
        <f t="shared" si="169"/>
        <v/>
      </c>
      <c r="E1260" s="25" t="str">
        <f t="shared" si="170"/>
        <v/>
      </c>
      <c r="F1260" s="25" t="str">
        <f>IF($E1260="","",ROUND(MIN(Comparison!$E$5,MAX(0,$E1260+$H1259+$H1260-$M1259)),2))</f>
        <v/>
      </c>
      <c r="G1260" s="25" t="str">
        <f>IF($E1260="","",ROUND(MIN(Inputs!$B$10,MAX(0,$E1260+$H1259+$H1260-$M1259-$F1260)),2))</f>
        <v/>
      </c>
      <c r="H1260" s="25" t="str">
        <f>IF($E1260="","",ROUND(IF(Inputs!$B$12="Daily Simple Interest",$E1260*Inputs!$B$6/Inputs!$B$17*$D1260,$E1260*Inputs!$B$6/Inputs!$B$20),2))</f>
        <v/>
      </c>
      <c r="I1260" s="25" t="str">
        <f>IF($E1260="","",ROUND($L1260-$H1259-$H1260,2))</f>
        <v/>
      </c>
      <c r="J1260" s="25" t="str">
        <f>IF($E1260="","",IF($F1260+$G1260&gt;0,Inputs!$B$11,0))</f>
        <v/>
      </c>
      <c r="K1260" s="25" t="str">
        <f>IF($E1260="","",ROUND(MAX(0,$E1260-$I1260),2))</f>
        <v/>
      </c>
      <c r="L1260" s="25" t="str">
        <f>IF($E1260="","",$M1259+$F1260+$G1260)</f>
        <v/>
      </c>
      <c r="M1260" s="25" t="str">
        <f>IF($E1260="","",0)</f>
        <v/>
      </c>
      <c r="N1260" s="84" t="str">
        <f>IF($E1260="","",IF($K1260&lt;=0.005,"PAID OFF","POSTED"))</f>
        <v/>
      </c>
      <c r="O1260" s="23" t="str">
        <f t="shared" si="171"/>
        <v/>
      </c>
    </row>
    <row r="1261" spans="1:15" ht="20" customHeight="1">
      <c r="A1261" s="22" t="str">
        <f t="shared" si="168"/>
        <v/>
      </c>
      <c r="B1261" s="23" t="str">
        <f>IF($E1261="","",235)</f>
        <v/>
      </c>
      <c r="C1261" s="24" t="str">
        <f>IF($E1261="","",Inputs!$B$9+(234*Inputs!$B$21))</f>
        <v/>
      </c>
      <c r="D1261" s="23" t="str">
        <f t="shared" si="169"/>
        <v/>
      </c>
      <c r="E1261" s="25" t="str">
        <f t="shared" si="170"/>
        <v/>
      </c>
      <c r="F1261" s="25" t="str">
        <f>IF($E1261="","",ROUND(MIN(Comparison!$E$5,MAX(0,$E1261+$H1261)),2))</f>
        <v/>
      </c>
      <c r="G1261" s="25" t="str">
        <f>IF($E1261="","",ROUND(MIN(Inputs!$B$10,MAX(0,$E1261+$H1261-$F1261)),2))</f>
        <v/>
      </c>
      <c r="H1261" s="25" t="str">
        <f>IF($E1261="","",ROUND(IF(Inputs!$B$12="Daily Simple Interest",$E1261*Inputs!$B$6/Inputs!$B$17*$D1261,$E1261*Inputs!$B$6/Inputs!$B$20),2))</f>
        <v/>
      </c>
      <c r="I1261" s="25" t="str">
        <f>IF($E1261="","",0)</f>
        <v/>
      </c>
      <c r="J1261" s="25" t="str">
        <f>IF($E1261="","",IF($F1261+$G1261&gt;0,Inputs!$B$11,0))</f>
        <v/>
      </c>
      <c r="K1261" s="25" t="str">
        <f>IF($E1261="","",$E1261)</f>
        <v/>
      </c>
      <c r="L1261" s="25" t="str">
        <f>IF($E1261="","",0)</f>
        <v/>
      </c>
      <c r="M1261" s="25" t="str">
        <f>IF($E1261="","",$F1261+$G1261)</f>
        <v/>
      </c>
      <c r="N1261" s="84" t="str">
        <f>IF($E1261="","","HELD")</f>
        <v/>
      </c>
      <c r="O1261" s="23" t="str">
        <f t="shared" si="171"/>
        <v/>
      </c>
    </row>
    <row r="1262" spans="1:15" ht="20" customHeight="1">
      <c r="A1262" s="22" t="str">
        <f t="shared" si="168"/>
        <v/>
      </c>
      <c r="B1262" s="23" t="str">
        <f>IF($E1262="","",236)</f>
        <v/>
      </c>
      <c r="C1262" s="24" t="str">
        <f>IF($E1262="","",Inputs!$B$9+(235*Inputs!$B$21))</f>
        <v/>
      </c>
      <c r="D1262" s="23" t="str">
        <f t="shared" si="169"/>
        <v/>
      </c>
      <c r="E1262" s="25" t="str">
        <f t="shared" si="170"/>
        <v/>
      </c>
      <c r="F1262" s="25" t="str">
        <f>IF($E1262="","",ROUND(MIN(Comparison!$E$5,MAX(0,$E1262+$H1261+$H1262-$M1261)),2))</f>
        <v/>
      </c>
      <c r="G1262" s="25" t="str">
        <f>IF($E1262="","",ROUND(MIN(Inputs!$B$10,MAX(0,$E1262+$H1261+$H1262-$M1261-$F1262)),2))</f>
        <v/>
      </c>
      <c r="H1262" s="25" t="str">
        <f>IF($E1262="","",ROUND(IF(Inputs!$B$12="Daily Simple Interest",$E1262*Inputs!$B$6/Inputs!$B$17*$D1262,$E1262*Inputs!$B$6/Inputs!$B$20),2))</f>
        <v/>
      </c>
      <c r="I1262" s="25" t="str">
        <f>IF($E1262="","",ROUND($L1262-$H1261-$H1262,2))</f>
        <v/>
      </c>
      <c r="J1262" s="25" t="str">
        <f>IF($E1262="","",IF($F1262+$G1262&gt;0,Inputs!$B$11,0))</f>
        <v/>
      </c>
      <c r="K1262" s="25" t="str">
        <f>IF($E1262="","",ROUND(MAX(0,$E1262-$I1262),2))</f>
        <v/>
      </c>
      <c r="L1262" s="25" t="str">
        <f>IF($E1262="","",$M1261+$F1262+$G1262)</f>
        <v/>
      </c>
      <c r="M1262" s="25" t="str">
        <f>IF($E1262="","",0)</f>
        <v/>
      </c>
      <c r="N1262" s="84" t="str">
        <f>IF($E1262="","",IF($K1262&lt;=0.005,"PAID OFF","POSTED"))</f>
        <v/>
      </c>
      <c r="O1262" s="23" t="str">
        <f t="shared" si="171"/>
        <v/>
      </c>
    </row>
    <row r="1263" spans="1:15" ht="20" customHeight="1">
      <c r="A1263" s="22" t="str">
        <f t="shared" si="168"/>
        <v/>
      </c>
      <c r="B1263" s="23" t="str">
        <f>IF($E1263="","",237)</f>
        <v/>
      </c>
      <c r="C1263" s="24" t="str">
        <f>IF($E1263="","",Inputs!$B$9+(236*Inputs!$B$21))</f>
        <v/>
      </c>
      <c r="D1263" s="23" t="str">
        <f t="shared" si="169"/>
        <v/>
      </c>
      <c r="E1263" s="25" t="str">
        <f t="shared" si="170"/>
        <v/>
      </c>
      <c r="F1263" s="25" t="str">
        <f>IF($E1263="","",ROUND(MIN(Comparison!$E$5,MAX(0,$E1263+$H1263)),2))</f>
        <v/>
      </c>
      <c r="G1263" s="25" t="str">
        <f>IF($E1263="","",ROUND(MIN(Inputs!$B$10,MAX(0,$E1263+$H1263-$F1263)),2))</f>
        <v/>
      </c>
      <c r="H1263" s="25" t="str">
        <f>IF($E1263="","",ROUND(IF(Inputs!$B$12="Daily Simple Interest",$E1263*Inputs!$B$6/Inputs!$B$17*$D1263,$E1263*Inputs!$B$6/Inputs!$B$20),2))</f>
        <v/>
      </c>
      <c r="I1263" s="25" t="str">
        <f>IF($E1263="","",0)</f>
        <v/>
      </c>
      <c r="J1263" s="25" t="str">
        <f>IF($E1263="","",IF($F1263+$G1263&gt;0,Inputs!$B$11,0))</f>
        <v/>
      </c>
      <c r="K1263" s="25" t="str">
        <f>IF($E1263="","",$E1263)</f>
        <v/>
      </c>
      <c r="L1263" s="25" t="str">
        <f>IF($E1263="","",0)</f>
        <v/>
      </c>
      <c r="M1263" s="25" t="str">
        <f>IF($E1263="","",$F1263+$G1263)</f>
        <v/>
      </c>
      <c r="N1263" s="84" t="str">
        <f>IF($E1263="","","HELD")</f>
        <v/>
      </c>
      <c r="O1263" s="23" t="str">
        <f t="shared" si="171"/>
        <v/>
      </c>
    </row>
    <row r="1264" spans="1:15" ht="20" customHeight="1">
      <c r="A1264" s="22" t="str">
        <f t="shared" si="168"/>
        <v/>
      </c>
      <c r="B1264" s="23" t="str">
        <f>IF($E1264="","",238)</f>
        <v/>
      </c>
      <c r="C1264" s="24" t="str">
        <f>IF($E1264="","",Inputs!$B$9+(237*Inputs!$B$21))</f>
        <v/>
      </c>
      <c r="D1264" s="23" t="str">
        <f t="shared" si="169"/>
        <v/>
      </c>
      <c r="E1264" s="25" t="str">
        <f t="shared" si="170"/>
        <v/>
      </c>
      <c r="F1264" s="25" t="str">
        <f>IF($E1264="","",ROUND(MIN(Comparison!$E$5,MAX(0,$E1264+$H1263+$H1264-$M1263)),2))</f>
        <v/>
      </c>
      <c r="G1264" s="25" t="str">
        <f>IF($E1264="","",ROUND(MIN(Inputs!$B$10,MAX(0,$E1264+$H1263+$H1264-$M1263-$F1264)),2))</f>
        <v/>
      </c>
      <c r="H1264" s="25" t="str">
        <f>IF($E1264="","",ROUND(IF(Inputs!$B$12="Daily Simple Interest",$E1264*Inputs!$B$6/Inputs!$B$17*$D1264,$E1264*Inputs!$B$6/Inputs!$B$20),2))</f>
        <v/>
      </c>
      <c r="I1264" s="25" t="str">
        <f>IF($E1264="","",ROUND($L1264-$H1263-$H1264,2))</f>
        <v/>
      </c>
      <c r="J1264" s="25" t="str">
        <f>IF($E1264="","",IF($F1264+$G1264&gt;0,Inputs!$B$11,0))</f>
        <v/>
      </c>
      <c r="K1264" s="25" t="str">
        <f>IF($E1264="","",ROUND(MAX(0,$E1264-$I1264),2))</f>
        <v/>
      </c>
      <c r="L1264" s="25" t="str">
        <f>IF($E1264="","",$M1263+$F1264+$G1264)</f>
        <v/>
      </c>
      <c r="M1264" s="25" t="str">
        <f>IF($E1264="","",0)</f>
        <v/>
      </c>
      <c r="N1264" s="84" t="str">
        <f>IF($E1264="","",IF($K1264&lt;=0.005,"PAID OFF","POSTED"))</f>
        <v/>
      </c>
      <c r="O1264" s="23" t="str">
        <f t="shared" si="171"/>
        <v/>
      </c>
    </row>
    <row r="1265" spans="1:15" ht="20" customHeight="1">
      <c r="A1265" s="22" t="str">
        <f t="shared" si="168"/>
        <v/>
      </c>
      <c r="B1265" s="23" t="str">
        <f>IF($E1265="","",239)</f>
        <v/>
      </c>
      <c r="C1265" s="24" t="str">
        <f>IF($E1265="","",Inputs!$B$9+(238*Inputs!$B$21))</f>
        <v/>
      </c>
      <c r="D1265" s="23" t="str">
        <f t="shared" si="169"/>
        <v/>
      </c>
      <c r="E1265" s="25" t="str">
        <f t="shared" si="170"/>
        <v/>
      </c>
      <c r="F1265" s="25" t="str">
        <f>IF($E1265="","",ROUND(MIN(Comparison!$E$5,MAX(0,$E1265+$H1265)),2))</f>
        <v/>
      </c>
      <c r="G1265" s="25" t="str">
        <f>IF($E1265="","",ROUND(MIN(Inputs!$B$10,MAX(0,$E1265+$H1265-$F1265)),2))</f>
        <v/>
      </c>
      <c r="H1265" s="25" t="str">
        <f>IF($E1265="","",ROUND(IF(Inputs!$B$12="Daily Simple Interest",$E1265*Inputs!$B$6/Inputs!$B$17*$D1265,$E1265*Inputs!$B$6/Inputs!$B$20),2))</f>
        <v/>
      </c>
      <c r="I1265" s="25" t="str">
        <f>IF($E1265="","",0)</f>
        <v/>
      </c>
      <c r="J1265" s="25" t="str">
        <f>IF($E1265="","",IF($F1265+$G1265&gt;0,Inputs!$B$11,0))</f>
        <v/>
      </c>
      <c r="K1265" s="25" t="str">
        <f>IF($E1265="","",$E1265)</f>
        <v/>
      </c>
      <c r="L1265" s="25" t="str">
        <f>IF($E1265="","",0)</f>
        <v/>
      </c>
      <c r="M1265" s="25" t="str">
        <f>IF($E1265="","",$F1265+$G1265)</f>
        <v/>
      </c>
      <c r="N1265" s="84" t="str">
        <f>IF($E1265="","","HELD")</f>
        <v/>
      </c>
      <c r="O1265" s="23" t="str">
        <f t="shared" si="171"/>
        <v/>
      </c>
    </row>
    <row r="1266" spans="1:15" ht="20" customHeight="1">
      <c r="A1266" s="22" t="str">
        <f t="shared" si="168"/>
        <v/>
      </c>
      <c r="B1266" s="23" t="str">
        <f>IF($E1266="","",240)</f>
        <v/>
      </c>
      <c r="C1266" s="24" t="str">
        <f>IF($E1266="","",Inputs!$B$9+(239*Inputs!$B$21))</f>
        <v/>
      </c>
      <c r="D1266" s="23" t="str">
        <f t="shared" si="169"/>
        <v/>
      </c>
      <c r="E1266" s="25" t="str">
        <f t="shared" si="170"/>
        <v/>
      </c>
      <c r="F1266" s="25" t="str">
        <f>IF($E1266="","",ROUND(MIN(Comparison!$E$5,MAX(0,$E1266+$H1265+$H1266-$M1265)),2))</f>
        <v/>
      </c>
      <c r="G1266" s="25" t="str">
        <f>IF($E1266="","",ROUND(MIN(Inputs!$B$10,MAX(0,$E1266+$H1265+$H1266-$M1265-$F1266)),2))</f>
        <v/>
      </c>
      <c r="H1266" s="25" t="str">
        <f>IF($E1266="","",ROUND(IF(Inputs!$B$12="Daily Simple Interest",$E1266*Inputs!$B$6/Inputs!$B$17*$D1266,$E1266*Inputs!$B$6/Inputs!$B$20),2))</f>
        <v/>
      </c>
      <c r="I1266" s="25" t="str">
        <f>IF($E1266="","",ROUND($L1266-$H1265-$H1266,2))</f>
        <v/>
      </c>
      <c r="J1266" s="25" t="str">
        <f>IF($E1266="","",IF($F1266+$G1266&gt;0,Inputs!$B$11,0))</f>
        <v/>
      </c>
      <c r="K1266" s="25" t="str">
        <f>IF($E1266="","",ROUND(MAX(0,$E1266-$I1266),2))</f>
        <v/>
      </c>
      <c r="L1266" s="25" t="str">
        <f>IF($E1266="","",$M1265+$F1266+$G1266)</f>
        <v/>
      </c>
      <c r="M1266" s="25" t="str">
        <f>IF($E1266="","",0)</f>
        <v/>
      </c>
      <c r="N1266" s="84" t="str">
        <f>IF($E1266="","",IF($K1266&lt;=0.005,"PAID OFF","POSTED"))</f>
        <v/>
      </c>
      <c r="O1266" s="23" t="str">
        <f t="shared" si="171"/>
        <v/>
      </c>
    </row>
    <row r="1267" spans="1:15" ht="20" customHeight="1">
      <c r="A1267" s="22" t="str">
        <f t="shared" si="168"/>
        <v/>
      </c>
      <c r="B1267" s="23" t="str">
        <f>IF($E1267="","",241)</f>
        <v/>
      </c>
      <c r="C1267" s="24" t="str">
        <f>IF($E1267="","",Inputs!$B$9+(240*Inputs!$B$21))</f>
        <v/>
      </c>
      <c r="D1267" s="23" t="str">
        <f t="shared" si="169"/>
        <v/>
      </c>
      <c r="E1267" s="25" t="str">
        <f t="shared" si="170"/>
        <v/>
      </c>
      <c r="F1267" s="25" t="str">
        <f>IF($E1267="","",ROUND(MIN(Comparison!$E$5,MAX(0,$E1267+$H1267)),2))</f>
        <v/>
      </c>
      <c r="G1267" s="25" t="str">
        <f>IF($E1267="","",ROUND(MIN(Inputs!$B$10,MAX(0,$E1267+$H1267-$F1267)),2))</f>
        <v/>
      </c>
      <c r="H1267" s="25" t="str">
        <f>IF($E1267="","",ROUND(IF(Inputs!$B$12="Daily Simple Interest",$E1267*Inputs!$B$6/Inputs!$B$17*$D1267,$E1267*Inputs!$B$6/Inputs!$B$20),2))</f>
        <v/>
      </c>
      <c r="I1267" s="25" t="str">
        <f>IF($E1267="","",0)</f>
        <v/>
      </c>
      <c r="J1267" s="25" t="str">
        <f>IF($E1267="","",IF($F1267+$G1267&gt;0,Inputs!$B$11,0))</f>
        <v/>
      </c>
      <c r="K1267" s="25" t="str">
        <f>IF($E1267="","",$E1267)</f>
        <v/>
      </c>
      <c r="L1267" s="25" t="str">
        <f>IF($E1267="","",0)</f>
        <v/>
      </c>
      <c r="M1267" s="25" t="str">
        <f>IF($E1267="","",$F1267+$G1267)</f>
        <v/>
      </c>
      <c r="N1267" s="84" t="str">
        <f>IF($E1267="","","HELD")</f>
        <v/>
      </c>
      <c r="O1267" s="23" t="str">
        <f t="shared" si="171"/>
        <v/>
      </c>
    </row>
    <row r="1268" spans="1:15" ht="20" customHeight="1">
      <c r="A1268" s="22" t="str">
        <f t="shared" si="168"/>
        <v/>
      </c>
      <c r="B1268" s="23" t="str">
        <f>IF($E1268="","",242)</f>
        <v/>
      </c>
      <c r="C1268" s="24" t="str">
        <f>IF($E1268="","",Inputs!$B$9+(241*Inputs!$B$21))</f>
        <v/>
      </c>
      <c r="D1268" s="23" t="str">
        <f t="shared" si="169"/>
        <v/>
      </c>
      <c r="E1268" s="25" t="str">
        <f t="shared" si="170"/>
        <v/>
      </c>
      <c r="F1268" s="25" t="str">
        <f>IF($E1268="","",ROUND(MIN(Comparison!$E$5,MAX(0,$E1268+$H1267+$H1268-$M1267)),2))</f>
        <v/>
      </c>
      <c r="G1268" s="25" t="str">
        <f>IF($E1268="","",ROUND(MIN(Inputs!$B$10,MAX(0,$E1268+$H1267+$H1268-$M1267-$F1268)),2))</f>
        <v/>
      </c>
      <c r="H1268" s="25" t="str">
        <f>IF($E1268="","",ROUND(IF(Inputs!$B$12="Daily Simple Interest",$E1268*Inputs!$B$6/Inputs!$B$17*$D1268,$E1268*Inputs!$B$6/Inputs!$B$20),2))</f>
        <v/>
      </c>
      <c r="I1268" s="25" t="str">
        <f>IF($E1268="","",ROUND($L1268-$H1267-$H1268,2))</f>
        <v/>
      </c>
      <c r="J1268" s="25" t="str">
        <f>IF($E1268="","",IF($F1268+$G1268&gt;0,Inputs!$B$11,0))</f>
        <v/>
      </c>
      <c r="K1268" s="25" t="str">
        <f>IF($E1268="","",ROUND(MAX(0,$E1268-$I1268),2))</f>
        <v/>
      </c>
      <c r="L1268" s="25" t="str">
        <f>IF($E1268="","",$M1267+$F1268+$G1268)</f>
        <v/>
      </c>
      <c r="M1268" s="25" t="str">
        <f>IF($E1268="","",0)</f>
        <v/>
      </c>
      <c r="N1268" s="84" t="str">
        <f>IF($E1268="","",IF($K1268&lt;=0.005,"PAID OFF","POSTED"))</f>
        <v/>
      </c>
      <c r="O1268" s="23" t="str">
        <f t="shared" si="171"/>
        <v/>
      </c>
    </row>
    <row r="1269" spans="1:15" ht="20" customHeight="1">
      <c r="A1269" s="22" t="str">
        <f t="shared" si="168"/>
        <v/>
      </c>
      <c r="B1269" s="23" t="str">
        <f>IF($E1269="","",243)</f>
        <v/>
      </c>
      <c r="C1269" s="24" t="str">
        <f>IF($E1269="","",Inputs!$B$9+(242*Inputs!$B$21))</f>
        <v/>
      </c>
      <c r="D1269" s="23" t="str">
        <f t="shared" si="169"/>
        <v/>
      </c>
      <c r="E1269" s="25" t="str">
        <f t="shared" si="170"/>
        <v/>
      </c>
      <c r="F1269" s="25" t="str">
        <f>IF($E1269="","",ROUND(MIN(Comparison!$E$5,MAX(0,$E1269+$H1269)),2))</f>
        <v/>
      </c>
      <c r="G1269" s="25" t="str">
        <f>IF($E1269="","",ROUND(MIN(Inputs!$B$10,MAX(0,$E1269+$H1269-$F1269)),2))</f>
        <v/>
      </c>
      <c r="H1269" s="25" t="str">
        <f>IF($E1269="","",ROUND(IF(Inputs!$B$12="Daily Simple Interest",$E1269*Inputs!$B$6/Inputs!$B$17*$D1269,$E1269*Inputs!$B$6/Inputs!$B$20),2))</f>
        <v/>
      </c>
      <c r="I1269" s="25" t="str">
        <f>IF($E1269="","",0)</f>
        <v/>
      </c>
      <c r="J1269" s="25" t="str">
        <f>IF($E1269="","",IF($F1269+$G1269&gt;0,Inputs!$B$11,0))</f>
        <v/>
      </c>
      <c r="K1269" s="25" t="str">
        <f>IF($E1269="","",$E1269)</f>
        <v/>
      </c>
      <c r="L1269" s="25" t="str">
        <f>IF($E1269="","",0)</f>
        <v/>
      </c>
      <c r="M1269" s="25" t="str">
        <f>IF($E1269="","",$F1269+$G1269)</f>
        <v/>
      </c>
      <c r="N1269" s="84" t="str">
        <f>IF($E1269="","","HELD")</f>
        <v/>
      </c>
      <c r="O1269" s="23" t="str">
        <f t="shared" si="171"/>
        <v/>
      </c>
    </row>
    <row r="1270" spans="1:15" ht="20" customHeight="1">
      <c r="A1270" s="22" t="str">
        <f t="shared" si="168"/>
        <v/>
      </c>
      <c r="B1270" s="23" t="str">
        <f>IF($E1270="","",244)</f>
        <v/>
      </c>
      <c r="C1270" s="24" t="str">
        <f>IF($E1270="","",Inputs!$B$9+(243*Inputs!$B$21))</f>
        <v/>
      </c>
      <c r="D1270" s="23" t="str">
        <f t="shared" si="169"/>
        <v/>
      </c>
      <c r="E1270" s="25" t="str">
        <f t="shared" si="170"/>
        <v/>
      </c>
      <c r="F1270" s="25" t="str">
        <f>IF($E1270="","",ROUND(MIN(Comparison!$E$5,MAX(0,$E1270+$H1269+$H1270-$M1269)),2))</f>
        <v/>
      </c>
      <c r="G1270" s="25" t="str">
        <f>IF($E1270="","",ROUND(MIN(Inputs!$B$10,MAX(0,$E1270+$H1269+$H1270-$M1269-$F1270)),2))</f>
        <v/>
      </c>
      <c r="H1270" s="25" t="str">
        <f>IF($E1270="","",ROUND(IF(Inputs!$B$12="Daily Simple Interest",$E1270*Inputs!$B$6/Inputs!$B$17*$D1270,$E1270*Inputs!$B$6/Inputs!$B$20),2))</f>
        <v/>
      </c>
      <c r="I1270" s="25" t="str">
        <f>IF($E1270="","",ROUND($L1270-$H1269-$H1270,2))</f>
        <v/>
      </c>
      <c r="J1270" s="25" t="str">
        <f>IF($E1270="","",IF($F1270+$G1270&gt;0,Inputs!$B$11,0))</f>
        <v/>
      </c>
      <c r="K1270" s="25" t="str">
        <f>IF($E1270="","",ROUND(MAX(0,$E1270-$I1270),2))</f>
        <v/>
      </c>
      <c r="L1270" s="25" t="str">
        <f>IF($E1270="","",$M1269+$F1270+$G1270)</f>
        <v/>
      </c>
      <c r="M1270" s="25" t="str">
        <f>IF($E1270="","",0)</f>
        <v/>
      </c>
      <c r="N1270" s="84" t="str">
        <f>IF($E1270="","",IF($K1270&lt;=0.005,"PAID OFF","POSTED"))</f>
        <v/>
      </c>
      <c r="O1270" s="23" t="str">
        <f t="shared" si="171"/>
        <v/>
      </c>
    </row>
    <row r="1271" spans="1:15" ht="20" customHeight="1">
      <c r="A1271" s="22" t="str">
        <f t="shared" si="168"/>
        <v/>
      </c>
      <c r="B1271" s="23" t="str">
        <f>IF($E1271="","",245)</f>
        <v/>
      </c>
      <c r="C1271" s="24" t="str">
        <f>IF($E1271="","",Inputs!$B$9+(244*Inputs!$B$21))</f>
        <v/>
      </c>
      <c r="D1271" s="23" t="str">
        <f t="shared" si="169"/>
        <v/>
      </c>
      <c r="E1271" s="25" t="str">
        <f t="shared" si="170"/>
        <v/>
      </c>
      <c r="F1271" s="25" t="str">
        <f>IF($E1271="","",ROUND(MIN(Comparison!$E$5,MAX(0,$E1271+$H1271)),2))</f>
        <v/>
      </c>
      <c r="G1271" s="25" t="str">
        <f>IF($E1271="","",ROUND(MIN(Inputs!$B$10,MAX(0,$E1271+$H1271-$F1271)),2))</f>
        <v/>
      </c>
      <c r="H1271" s="25" t="str">
        <f>IF($E1271="","",ROUND(IF(Inputs!$B$12="Daily Simple Interest",$E1271*Inputs!$B$6/Inputs!$B$17*$D1271,$E1271*Inputs!$B$6/Inputs!$B$20),2))</f>
        <v/>
      </c>
      <c r="I1271" s="25" t="str">
        <f>IF($E1271="","",0)</f>
        <v/>
      </c>
      <c r="J1271" s="25" t="str">
        <f>IF($E1271="","",IF($F1271+$G1271&gt;0,Inputs!$B$11,0))</f>
        <v/>
      </c>
      <c r="K1271" s="25" t="str">
        <f>IF($E1271="","",$E1271)</f>
        <v/>
      </c>
      <c r="L1271" s="25" t="str">
        <f>IF($E1271="","",0)</f>
        <v/>
      </c>
      <c r="M1271" s="25" t="str">
        <f>IF($E1271="","",$F1271+$G1271)</f>
        <v/>
      </c>
      <c r="N1271" s="84" t="str">
        <f>IF($E1271="","","HELD")</f>
        <v/>
      </c>
      <c r="O1271" s="23" t="str">
        <f t="shared" si="171"/>
        <v/>
      </c>
    </row>
    <row r="1272" spans="1:15" ht="20" customHeight="1">
      <c r="A1272" s="22" t="str">
        <f t="shared" si="168"/>
        <v/>
      </c>
      <c r="B1272" s="23" t="str">
        <f>IF($E1272="","",246)</f>
        <v/>
      </c>
      <c r="C1272" s="24" t="str">
        <f>IF($E1272="","",Inputs!$B$9+(245*Inputs!$B$21))</f>
        <v/>
      </c>
      <c r="D1272" s="23" t="str">
        <f t="shared" si="169"/>
        <v/>
      </c>
      <c r="E1272" s="25" t="str">
        <f t="shared" si="170"/>
        <v/>
      </c>
      <c r="F1272" s="25" t="str">
        <f>IF($E1272="","",ROUND(MIN(Comparison!$E$5,MAX(0,$E1272+$H1271+$H1272-$M1271)),2))</f>
        <v/>
      </c>
      <c r="G1272" s="25" t="str">
        <f>IF($E1272="","",ROUND(MIN(Inputs!$B$10,MAX(0,$E1272+$H1271+$H1272-$M1271-$F1272)),2))</f>
        <v/>
      </c>
      <c r="H1272" s="25" t="str">
        <f>IF($E1272="","",ROUND(IF(Inputs!$B$12="Daily Simple Interest",$E1272*Inputs!$B$6/Inputs!$B$17*$D1272,$E1272*Inputs!$B$6/Inputs!$B$20),2))</f>
        <v/>
      </c>
      <c r="I1272" s="25" t="str">
        <f>IF($E1272="","",ROUND($L1272-$H1271-$H1272,2))</f>
        <v/>
      </c>
      <c r="J1272" s="25" t="str">
        <f>IF($E1272="","",IF($F1272+$G1272&gt;0,Inputs!$B$11,0))</f>
        <v/>
      </c>
      <c r="K1272" s="25" t="str">
        <f>IF($E1272="","",ROUND(MAX(0,$E1272-$I1272),2))</f>
        <v/>
      </c>
      <c r="L1272" s="25" t="str">
        <f>IF($E1272="","",$M1271+$F1272+$G1272)</f>
        <v/>
      </c>
      <c r="M1272" s="25" t="str">
        <f>IF($E1272="","",0)</f>
        <v/>
      </c>
      <c r="N1272" s="84" t="str">
        <f>IF($E1272="","",IF($K1272&lt;=0.005,"PAID OFF","POSTED"))</f>
        <v/>
      </c>
      <c r="O1272" s="23" t="str">
        <f t="shared" si="171"/>
        <v/>
      </c>
    </row>
    <row r="1273" spans="1:15" ht="20" customHeight="1">
      <c r="A1273" s="22" t="str">
        <f t="shared" si="168"/>
        <v/>
      </c>
      <c r="B1273" s="23" t="str">
        <f>IF($E1273="","",247)</f>
        <v/>
      </c>
      <c r="C1273" s="24" t="str">
        <f>IF($E1273="","",Inputs!$B$9+(246*Inputs!$B$21))</f>
        <v/>
      </c>
      <c r="D1273" s="23" t="str">
        <f t="shared" si="169"/>
        <v/>
      </c>
      <c r="E1273" s="25" t="str">
        <f t="shared" si="170"/>
        <v/>
      </c>
      <c r="F1273" s="25" t="str">
        <f>IF($E1273="","",ROUND(MIN(Comparison!$E$5,MAX(0,$E1273+$H1273)),2))</f>
        <v/>
      </c>
      <c r="G1273" s="25" t="str">
        <f>IF($E1273="","",ROUND(MIN(Inputs!$B$10,MAX(0,$E1273+$H1273-$F1273)),2))</f>
        <v/>
      </c>
      <c r="H1273" s="25" t="str">
        <f>IF($E1273="","",ROUND(IF(Inputs!$B$12="Daily Simple Interest",$E1273*Inputs!$B$6/Inputs!$B$17*$D1273,$E1273*Inputs!$B$6/Inputs!$B$20),2))</f>
        <v/>
      </c>
      <c r="I1273" s="25" t="str">
        <f>IF($E1273="","",0)</f>
        <v/>
      </c>
      <c r="J1273" s="25" t="str">
        <f>IF($E1273="","",IF($F1273+$G1273&gt;0,Inputs!$B$11,0))</f>
        <v/>
      </c>
      <c r="K1273" s="25" t="str">
        <f>IF($E1273="","",$E1273)</f>
        <v/>
      </c>
      <c r="L1273" s="25" t="str">
        <f>IF($E1273="","",0)</f>
        <v/>
      </c>
      <c r="M1273" s="25" t="str">
        <f>IF($E1273="","",$F1273+$G1273)</f>
        <v/>
      </c>
      <c r="N1273" s="84" t="str">
        <f>IF($E1273="","","HELD")</f>
        <v/>
      </c>
      <c r="O1273" s="23" t="str">
        <f t="shared" si="171"/>
        <v/>
      </c>
    </row>
    <row r="1274" spans="1:15" ht="20" customHeight="1">
      <c r="A1274" s="22" t="str">
        <f t="shared" si="168"/>
        <v/>
      </c>
      <c r="B1274" s="23" t="str">
        <f>IF($E1274="","",248)</f>
        <v/>
      </c>
      <c r="C1274" s="24" t="str">
        <f>IF($E1274="","",Inputs!$B$9+(247*Inputs!$B$21))</f>
        <v/>
      </c>
      <c r="D1274" s="23" t="str">
        <f t="shared" si="169"/>
        <v/>
      </c>
      <c r="E1274" s="25" t="str">
        <f t="shared" si="170"/>
        <v/>
      </c>
      <c r="F1274" s="25" t="str">
        <f>IF($E1274="","",ROUND(MIN(Comparison!$E$5,MAX(0,$E1274+$H1273+$H1274-$M1273)),2))</f>
        <v/>
      </c>
      <c r="G1274" s="25" t="str">
        <f>IF($E1274="","",ROUND(MIN(Inputs!$B$10,MAX(0,$E1274+$H1273+$H1274-$M1273-$F1274)),2))</f>
        <v/>
      </c>
      <c r="H1274" s="25" t="str">
        <f>IF($E1274="","",ROUND(IF(Inputs!$B$12="Daily Simple Interest",$E1274*Inputs!$B$6/Inputs!$B$17*$D1274,$E1274*Inputs!$B$6/Inputs!$B$20),2))</f>
        <v/>
      </c>
      <c r="I1274" s="25" t="str">
        <f>IF($E1274="","",ROUND($L1274-$H1273-$H1274,2))</f>
        <v/>
      </c>
      <c r="J1274" s="25" t="str">
        <f>IF($E1274="","",IF($F1274+$G1274&gt;0,Inputs!$B$11,0))</f>
        <v/>
      </c>
      <c r="K1274" s="25" t="str">
        <f>IF($E1274="","",ROUND(MAX(0,$E1274-$I1274),2))</f>
        <v/>
      </c>
      <c r="L1274" s="25" t="str">
        <f>IF($E1274="","",$M1273+$F1274+$G1274)</f>
        <v/>
      </c>
      <c r="M1274" s="25" t="str">
        <f>IF($E1274="","",0)</f>
        <v/>
      </c>
      <c r="N1274" s="84" t="str">
        <f>IF($E1274="","",IF($K1274&lt;=0.005,"PAID OFF","POSTED"))</f>
        <v/>
      </c>
      <c r="O1274" s="23" t="str">
        <f t="shared" si="171"/>
        <v/>
      </c>
    </row>
    <row r="1275" spans="1:15" ht="20" customHeight="1">
      <c r="A1275" s="22" t="str">
        <f t="shared" si="168"/>
        <v/>
      </c>
      <c r="B1275" s="23" t="str">
        <f>IF($E1275="","",249)</f>
        <v/>
      </c>
      <c r="C1275" s="24" t="str">
        <f>IF($E1275="","",Inputs!$B$9+(248*Inputs!$B$21))</f>
        <v/>
      </c>
      <c r="D1275" s="23" t="str">
        <f t="shared" si="169"/>
        <v/>
      </c>
      <c r="E1275" s="25" t="str">
        <f t="shared" si="170"/>
        <v/>
      </c>
      <c r="F1275" s="25" t="str">
        <f>IF($E1275="","",ROUND(MIN(Comparison!$E$5,MAX(0,$E1275+$H1275)),2))</f>
        <v/>
      </c>
      <c r="G1275" s="25" t="str">
        <f>IF($E1275="","",ROUND(MIN(Inputs!$B$10,MAX(0,$E1275+$H1275-$F1275)),2))</f>
        <v/>
      </c>
      <c r="H1275" s="25" t="str">
        <f>IF($E1275="","",ROUND(IF(Inputs!$B$12="Daily Simple Interest",$E1275*Inputs!$B$6/Inputs!$B$17*$D1275,$E1275*Inputs!$B$6/Inputs!$B$20),2))</f>
        <v/>
      </c>
      <c r="I1275" s="25" t="str">
        <f>IF($E1275="","",0)</f>
        <v/>
      </c>
      <c r="J1275" s="25" t="str">
        <f>IF($E1275="","",IF($F1275+$G1275&gt;0,Inputs!$B$11,0))</f>
        <v/>
      </c>
      <c r="K1275" s="25" t="str">
        <f>IF($E1275="","",$E1275)</f>
        <v/>
      </c>
      <c r="L1275" s="25" t="str">
        <f>IF($E1275="","",0)</f>
        <v/>
      </c>
      <c r="M1275" s="25" t="str">
        <f>IF($E1275="","",$F1275+$G1275)</f>
        <v/>
      </c>
      <c r="N1275" s="84" t="str">
        <f>IF($E1275="","","HELD")</f>
        <v/>
      </c>
      <c r="O1275" s="23" t="str">
        <f t="shared" si="171"/>
        <v/>
      </c>
    </row>
    <row r="1276" spans="1:15" ht="20" customHeight="1">
      <c r="A1276" s="22" t="str">
        <f t="shared" si="168"/>
        <v/>
      </c>
      <c r="B1276" s="23" t="str">
        <f>IF($E1276="","",250)</f>
        <v/>
      </c>
      <c r="C1276" s="24" t="str">
        <f>IF($E1276="","",Inputs!$B$9+(249*Inputs!$B$21))</f>
        <v/>
      </c>
      <c r="D1276" s="23" t="str">
        <f t="shared" si="169"/>
        <v/>
      </c>
      <c r="E1276" s="25" t="str">
        <f t="shared" si="170"/>
        <v/>
      </c>
      <c r="F1276" s="25" t="str">
        <f>IF($E1276="","",ROUND(MIN(Comparison!$E$5,MAX(0,$E1276+$H1275+$H1276-$M1275)),2))</f>
        <v/>
      </c>
      <c r="G1276" s="25" t="str">
        <f>IF($E1276="","",ROUND(MIN(Inputs!$B$10,MAX(0,$E1276+$H1275+$H1276-$M1275-$F1276)),2))</f>
        <v/>
      </c>
      <c r="H1276" s="25" t="str">
        <f>IF($E1276="","",ROUND(IF(Inputs!$B$12="Daily Simple Interest",$E1276*Inputs!$B$6/Inputs!$B$17*$D1276,$E1276*Inputs!$B$6/Inputs!$B$20),2))</f>
        <v/>
      </c>
      <c r="I1276" s="25" t="str">
        <f>IF($E1276="","",ROUND($L1276-$H1275-$H1276,2))</f>
        <v/>
      </c>
      <c r="J1276" s="25" t="str">
        <f>IF($E1276="","",IF($F1276+$G1276&gt;0,Inputs!$B$11,0))</f>
        <v/>
      </c>
      <c r="K1276" s="25" t="str">
        <f>IF($E1276="","",ROUND(MAX(0,$E1276-$I1276),2))</f>
        <v/>
      </c>
      <c r="L1276" s="25" t="str">
        <f>IF($E1276="","",$M1275+$F1276+$G1276)</f>
        <v/>
      </c>
      <c r="M1276" s="25" t="str">
        <f>IF($E1276="","",0)</f>
        <v/>
      </c>
      <c r="N1276" s="84" t="str">
        <f>IF($E1276="","",IF($K1276&lt;=0.005,"PAID OFF","POSTED"))</f>
        <v/>
      </c>
      <c r="O1276" s="23" t="str">
        <f t="shared" si="171"/>
        <v/>
      </c>
    </row>
    <row r="1277" spans="1:15" ht="20" customHeight="1">
      <c r="A1277" s="22" t="str">
        <f t="shared" si="168"/>
        <v/>
      </c>
      <c r="B1277" s="23" t="str">
        <f>IF($E1277="","",251)</f>
        <v/>
      </c>
      <c r="C1277" s="24" t="str">
        <f>IF($E1277="","",Inputs!$B$9+(250*Inputs!$B$21))</f>
        <v/>
      </c>
      <c r="D1277" s="23" t="str">
        <f t="shared" si="169"/>
        <v/>
      </c>
      <c r="E1277" s="25" t="str">
        <f t="shared" si="170"/>
        <v/>
      </c>
      <c r="F1277" s="25" t="str">
        <f>IF($E1277="","",ROUND(MIN(Comparison!$E$5,MAX(0,$E1277+$H1277)),2))</f>
        <v/>
      </c>
      <c r="G1277" s="25" t="str">
        <f>IF($E1277="","",ROUND(MIN(Inputs!$B$10,MAX(0,$E1277+$H1277-$F1277)),2))</f>
        <v/>
      </c>
      <c r="H1277" s="25" t="str">
        <f>IF($E1277="","",ROUND(IF(Inputs!$B$12="Daily Simple Interest",$E1277*Inputs!$B$6/Inputs!$B$17*$D1277,$E1277*Inputs!$B$6/Inputs!$B$20),2))</f>
        <v/>
      </c>
      <c r="I1277" s="25" t="str">
        <f>IF($E1277="","",0)</f>
        <v/>
      </c>
      <c r="J1277" s="25" t="str">
        <f>IF($E1277="","",IF($F1277+$G1277&gt;0,Inputs!$B$11,0))</f>
        <v/>
      </c>
      <c r="K1277" s="25" t="str">
        <f>IF($E1277="","",$E1277)</f>
        <v/>
      </c>
      <c r="L1277" s="25" t="str">
        <f>IF($E1277="","",0)</f>
        <v/>
      </c>
      <c r="M1277" s="25" t="str">
        <f>IF($E1277="","",$F1277+$G1277)</f>
        <v/>
      </c>
      <c r="N1277" s="84" t="str">
        <f>IF($E1277="","","HELD")</f>
        <v/>
      </c>
      <c r="O1277" s="23" t="str">
        <f t="shared" si="171"/>
        <v/>
      </c>
    </row>
    <row r="1278" spans="1:15" ht="20" customHeight="1">
      <c r="A1278" s="22" t="str">
        <f t="shared" si="168"/>
        <v/>
      </c>
      <c r="B1278" s="23" t="str">
        <f>IF($E1278="","",252)</f>
        <v/>
      </c>
      <c r="C1278" s="24" t="str">
        <f>IF($E1278="","",Inputs!$B$9+(251*Inputs!$B$21))</f>
        <v/>
      </c>
      <c r="D1278" s="23" t="str">
        <f t="shared" si="169"/>
        <v/>
      </c>
      <c r="E1278" s="25" t="str">
        <f t="shared" si="170"/>
        <v/>
      </c>
      <c r="F1278" s="25" t="str">
        <f>IF($E1278="","",ROUND(MIN(Comparison!$E$5,MAX(0,$E1278+$H1277+$H1278-$M1277)),2))</f>
        <v/>
      </c>
      <c r="G1278" s="25" t="str">
        <f>IF($E1278="","",ROUND(MIN(Inputs!$B$10,MAX(0,$E1278+$H1277+$H1278-$M1277-$F1278)),2))</f>
        <v/>
      </c>
      <c r="H1278" s="25" t="str">
        <f>IF($E1278="","",ROUND(IF(Inputs!$B$12="Daily Simple Interest",$E1278*Inputs!$B$6/Inputs!$B$17*$D1278,$E1278*Inputs!$B$6/Inputs!$B$20),2))</f>
        <v/>
      </c>
      <c r="I1278" s="25" t="str">
        <f>IF($E1278="","",ROUND($L1278-$H1277-$H1278,2))</f>
        <v/>
      </c>
      <c r="J1278" s="25" t="str">
        <f>IF($E1278="","",IF($F1278+$G1278&gt;0,Inputs!$B$11,0))</f>
        <v/>
      </c>
      <c r="K1278" s="25" t="str">
        <f>IF($E1278="","",ROUND(MAX(0,$E1278-$I1278),2))</f>
        <v/>
      </c>
      <c r="L1278" s="25" t="str">
        <f>IF($E1278="","",$M1277+$F1278+$G1278)</f>
        <v/>
      </c>
      <c r="M1278" s="25" t="str">
        <f>IF($E1278="","",0)</f>
        <v/>
      </c>
      <c r="N1278" s="84" t="str">
        <f>IF($E1278="","",IF($K1278&lt;=0.005,"PAID OFF","POSTED"))</f>
        <v/>
      </c>
      <c r="O1278" s="23" t="str">
        <f t="shared" si="171"/>
        <v/>
      </c>
    </row>
    <row r="1279" spans="1:15" ht="20" customHeight="1">
      <c r="A1279" s="22" t="str">
        <f t="shared" si="168"/>
        <v/>
      </c>
      <c r="B1279" s="23" t="str">
        <f>IF($E1279="","",253)</f>
        <v/>
      </c>
      <c r="C1279" s="24" t="str">
        <f>IF($E1279="","",Inputs!$B$9+(252*Inputs!$B$21))</f>
        <v/>
      </c>
      <c r="D1279" s="23" t="str">
        <f t="shared" si="169"/>
        <v/>
      </c>
      <c r="E1279" s="25" t="str">
        <f t="shared" si="170"/>
        <v/>
      </c>
      <c r="F1279" s="25" t="str">
        <f>IF($E1279="","",ROUND(MIN(Comparison!$E$5,MAX(0,$E1279+$H1279)),2))</f>
        <v/>
      </c>
      <c r="G1279" s="25" t="str">
        <f>IF($E1279="","",ROUND(MIN(Inputs!$B$10,MAX(0,$E1279+$H1279-$F1279)),2))</f>
        <v/>
      </c>
      <c r="H1279" s="25" t="str">
        <f>IF($E1279="","",ROUND(IF(Inputs!$B$12="Daily Simple Interest",$E1279*Inputs!$B$6/Inputs!$B$17*$D1279,$E1279*Inputs!$B$6/Inputs!$B$20),2))</f>
        <v/>
      </c>
      <c r="I1279" s="25" t="str">
        <f>IF($E1279="","",0)</f>
        <v/>
      </c>
      <c r="J1279" s="25" t="str">
        <f>IF($E1279="","",IF($F1279+$G1279&gt;0,Inputs!$B$11,0))</f>
        <v/>
      </c>
      <c r="K1279" s="25" t="str">
        <f>IF($E1279="","",$E1279)</f>
        <v/>
      </c>
      <c r="L1279" s="25" t="str">
        <f>IF($E1279="","",0)</f>
        <v/>
      </c>
      <c r="M1279" s="25" t="str">
        <f>IF($E1279="","",$F1279+$G1279)</f>
        <v/>
      </c>
      <c r="N1279" s="84" t="str">
        <f>IF($E1279="","","HELD")</f>
        <v/>
      </c>
      <c r="O1279" s="23" t="str">
        <f t="shared" si="171"/>
        <v/>
      </c>
    </row>
    <row r="1280" spans="1:15" ht="20" customHeight="1">
      <c r="A1280" s="22" t="str">
        <f t="shared" si="168"/>
        <v/>
      </c>
      <c r="B1280" s="23" t="str">
        <f>IF($E1280="","",254)</f>
        <v/>
      </c>
      <c r="C1280" s="24" t="str">
        <f>IF($E1280="","",Inputs!$B$9+(253*Inputs!$B$21))</f>
        <v/>
      </c>
      <c r="D1280" s="23" t="str">
        <f t="shared" si="169"/>
        <v/>
      </c>
      <c r="E1280" s="25" t="str">
        <f t="shared" si="170"/>
        <v/>
      </c>
      <c r="F1280" s="25" t="str">
        <f>IF($E1280="","",ROUND(MIN(Comparison!$E$5,MAX(0,$E1280+$H1279+$H1280-$M1279)),2))</f>
        <v/>
      </c>
      <c r="G1280" s="25" t="str">
        <f>IF($E1280="","",ROUND(MIN(Inputs!$B$10,MAX(0,$E1280+$H1279+$H1280-$M1279-$F1280)),2))</f>
        <v/>
      </c>
      <c r="H1280" s="25" t="str">
        <f>IF($E1280="","",ROUND(IF(Inputs!$B$12="Daily Simple Interest",$E1280*Inputs!$B$6/Inputs!$B$17*$D1280,$E1280*Inputs!$B$6/Inputs!$B$20),2))</f>
        <v/>
      </c>
      <c r="I1280" s="25" t="str">
        <f>IF($E1280="","",ROUND($L1280-$H1279-$H1280,2))</f>
        <v/>
      </c>
      <c r="J1280" s="25" t="str">
        <f>IF($E1280="","",IF($F1280+$G1280&gt;0,Inputs!$B$11,0))</f>
        <v/>
      </c>
      <c r="K1280" s="25" t="str">
        <f>IF($E1280="","",ROUND(MAX(0,$E1280-$I1280),2))</f>
        <v/>
      </c>
      <c r="L1280" s="25" t="str">
        <f>IF($E1280="","",$M1279+$F1280+$G1280)</f>
        <v/>
      </c>
      <c r="M1280" s="25" t="str">
        <f>IF($E1280="","",0)</f>
        <v/>
      </c>
      <c r="N1280" s="84" t="str">
        <f>IF($E1280="","",IF($K1280&lt;=0.005,"PAID OFF","POSTED"))</f>
        <v/>
      </c>
      <c r="O1280" s="23" t="str">
        <f t="shared" si="171"/>
        <v/>
      </c>
    </row>
    <row r="1281" spans="1:15" ht="20" customHeight="1">
      <c r="A1281" s="22" t="str">
        <f t="shared" si="168"/>
        <v/>
      </c>
      <c r="B1281" s="23" t="str">
        <f>IF($E1281="","",255)</f>
        <v/>
      </c>
      <c r="C1281" s="24" t="str">
        <f>IF($E1281="","",Inputs!$B$9+(254*Inputs!$B$21))</f>
        <v/>
      </c>
      <c r="D1281" s="23" t="str">
        <f t="shared" si="169"/>
        <v/>
      </c>
      <c r="E1281" s="25" t="str">
        <f t="shared" si="170"/>
        <v/>
      </c>
      <c r="F1281" s="25" t="str">
        <f>IF($E1281="","",ROUND(MIN(Comparison!$E$5,MAX(0,$E1281+$H1281)),2))</f>
        <v/>
      </c>
      <c r="G1281" s="25" t="str">
        <f>IF($E1281="","",ROUND(MIN(Inputs!$B$10,MAX(0,$E1281+$H1281-$F1281)),2))</f>
        <v/>
      </c>
      <c r="H1281" s="25" t="str">
        <f>IF($E1281="","",ROUND(IF(Inputs!$B$12="Daily Simple Interest",$E1281*Inputs!$B$6/Inputs!$B$17*$D1281,$E1281*Inputs!$B$6/Inputs!$B$20),2))</f>
        <v/>
      </c>
      <c r="I1281" s="25" t="str">
        <f>IF($E1281="","",0)</f>
        <v/>
      </c>
      <c r="J1281" s="25" t="str">
        <f>IF($E1281="","",IF($F1281+$G1281&gt;0,Inputs!$B$11,0))</f>
        <v/>
      </c>
      <c r="K1281" s="25" t="str">
        <f>IF($E1281="","",$E1281)</f>
        <v/>
      </c>
      <c r="L1281" s="25" t="str">
        <f>IF($E1281="","",0)</f>
        <v/>
      </c>
      <c r="M1281" s="25" t="str">
        <f>IF($E1281="","",$F1281+$G1281)</f>
        <v/>
      </c>
      <c r="N1281" s="84" t="str">
        <f>IF($E1281="","","HELD")</f>
        <v/>
      </c>
      <c r="O1281" s="23" t="str">
        <f t="shared" si="171"/>
        <v/>
      </c>
    </row>
    <row r="1282" spans="1:15" ht="20" customHeight="1">
      <c r="A1282" s="22" t="str">
        <f t="shared" si="168"/>
        <v/>
      </c>
      <c r="B1282" s="23" t="str">
        <f>IF($E1282="","",256)</f>
        <v/>
      </c>
      <c r="C1282" s="24" t="str">
        <f>IF($E1282="","",Inputs!$B$9+(255*Inputs!$B$21))</f>
        <v/>
      </c>
      <c r="D1282" s="23" t="str">
        <f t="shared" si="169"/>
        <v/>
      </c>
      <c r="E1282" s="25" t="str">
        <f t="shared" si="170"/>
        <v/>
      </c>
      <c r="F1282" s="25" t="str">
        <f>IF($E1282="","",ROUND(MIN(Comparison!$E$5,MAX(0,$E1282+$H1281+$H1282-$M1281)),2))</f>
        <v/>
      </c>
      <c r="G1282" s="25" t="str">
        <f>IF($E1282="","",ROUND(MIN(Inputs!$B$10,MAX(0,$E1282+$H1281+$H1282-$M1281-$F1282)),2))</f>
        <v/>
      </c>
      <c r="H1282" s="25" t="str">
        <f>IF($E1282="","",ROUND(IF(Inputs!$B$12="Daily Simple Interest",$E1282*Inputs!$B$6/Inputs!$B$17*$D1282,$E1282*Inputs!$B$6/Inputs!$B$20),2))</f>
        <v/>
      </c>
      <c r="I1282" s="25" t="str">
        <f>IF($E1282="","",ROUND($L1282-$H1281-$H1282,2))</f>
        <v/>
      </c>
      <c r="J1282" s="25" t="str">
        <f>IF($E1282="","",IF($F1282+$G1282&gt;0,Inputs!$B$11,0))</f>
        <v/>
      </c>
      <c r="K1282" s="25" t="str">
        <f>IF($E1282="","",ROUND(MAX(0,$E1282-$I1282),2))</f>
        <v/>
      </c>
      <c r="L1282" s="25" t="str">
        <f>IF($E1282="","",$M1281+$F1282+$G1282)</f>
        <v/>
      </c>
      <c r="M1282" s="25" t="str">
        <f>IF($E1282="","",0)</f>
        <v/>
      </c>
      <c r="N1282" s="84" t="str">
        <f>IF($E1282="","",IF($K1282&lt;=0.005,"PAID OFF","POSTED"))</f>
        <v/>
      </c>
      <c r="O1282" s="23" t="str">
        <f t="shared" si="171"/>
        <v/>
      </c>
    </row>
    <row r="1283" spans="1:15" ht="20" customHeight="1">
      <c r="A1283" s="22" t="str">
        <f t="shared" ref="A1283:A1346" si="172">IF($E1283="","","Biweekly Held by Lender")</f>
        <v/>
      </c>
      <c r="B1283" s="23" t="str">
        <f>IF($E1283="","",257)</f>
        <v/>
      </c>
      <c r="C1283" s="24" t="str">
        <f>IF($E1283="","",Inputs!$B$9+(256*Inputs!$B$21))</f>
        <v/>
      </c>
      <c r="D1283" s="23" t="str">
        <f t="shared" si="169"/>
        <v/>
      </c>
      <c r="E1283" s="25" t="str">
        <f t="shared" si="170"/>
        <v/>
      </c>
      <c r="F1283" s="25" t="str">
        <f>IF($E1283="","",ROUND(MIN(Comparison!$E$5,MAX(0,$E1283+$H1283)),2))</f>
        <v/>
      </c>
      <c r="G1283" s="25" t="str">
        <f>IF($E1283="","",ROUND(MIN(Inputs!$B$10,MAX(0,$E1283+$H1283-$F1283)),2))</f>
        <v/>
      </c>
      <c r="H1283" s="25" t="str">
        <f>IF($E1283="","",ROUND(IF(Inputs!$B$12="Daily Simple Interest",$E1283*Inputs!$B$6/Inputs!$B$17*$D1283,$E1283*Inputs!$B$6/Inputs!$B$20),2))</f>
        <v/>
      </c>
      <c r="I1283" s="25" t="str">
        <f>IF($E1283="","",0)</f>
        <v/>
      </c>
      <c r="J1283" s="25" t="str">
        <f>IF($E1283="","",IF($F1283+$G1283&gt;0,Inputs!$B$11,0))</f>
        <v/>
      </c>
      <c r="K1283" s="25" t="str">
        <f>IF($E1283="","",$E1283)</f>
        <v/>
      </c>
      <c r="L1283" s="25" t="str">
        <f>IF($E1283="","",0)</f>
        <v/>
      </c>
      <c r="M1283" s="25" t="str">
        <f>IF($E1283="","",$F1283+$G1283)</f>
        <v/>
      </c>
      <c r="N1283" s="84" t="str">
        <f>IF($E1283="","","HELD")</f>
        <v/>
      </c>
      <c r="O1283" s="23" t="str">
        <f t="shared" si="171"/>
        <v/>
      </c>
    </row>
    <row r="1284" spans="1:15" ht="20" customHeight="1">
      <c r="A1284" s="22" t="str">
        <f t="shared" si="172"/>
        <v/>
      </c>
      <c r="B1284" s="23" t="str">
        <f>IF($E1284="","",258)</f>
        <v/>
      </c>
      <c r="C1284" s="24" t="str">
        <f>IF($E1284="","",Inputs!$B$9+(257*Inputs!$B$21))</f>
        <v/>
      </c>
      <c r="D1284" s="23" t="str">
        <f t="shared" ref="D1284:D1347" si="173">IF($E1284="","",$C1284-$C1283)</f>
        <v/>
      </c>
      <c r="E1284" s="25" t="str">
        <f t="shared" ref="E1284:E1347" si="174">IF($K1283&gt;0.005,$K1283,"")</f>
        <v/>
      </c>
      <c r="F1284" s="25" t="str">
        <f>IF($E1284="","",ROUND(MIN(Comparison!$E$5,MAX(0,$E1284+$H1283+$H1284-$M1283)),2))</f>
        <v/>
      </c>
      <c r="G1284" s="25" t="str">
        <f>IF($E1284="","",ROUND(MIN(Inputs!$B$10,MAX(0,$E1284+$H1283+$H1284-$M1283-$F1284)),2))</f>
        <v/>
      </c>
      <c r="H1284" s="25" t="str">
        <f>IF($E1284="","",ROUND(IF(Inputs!$B$12="Daily Simple Interest",$E1284*Inputs!$B$6/Inputs!$B$17*$D1284,$E1284*Inputs!$B$6/Inputs!$B$20),2))</f>
        <v/>
      </c>
      <c r="I1284" s="25" t="str">
        <f>IF($E1284="","",ROUND($L1284-$H1283-$H1284,2))</f>
        <v/>
      </c>
      <c r="J1284" s="25" t="str">
        <f>IF($E1284="","",IF($F1284+$G1284&gt;0,Inputs!$B$11,0))</f>
        <v/>
      </c>
      <c r="K1284" s="25" t="str">
        <f>IF($E1284="","",ROUND(MAX(0,$E1284-$I1284),2))</f>
        <v/>
      </c>
      <c r="L1284" s="25" t="str">
        <f>IF($E1284="","",$M1283+$F1284+$G1284)</f>
        <v/>
      </c>
      <c r="M1284" s="25" t="str">
        <f>IF($E1284="","",0)</f>
        <v/>
      </c>
      <c r="N1284" s="84" t="str">
        <f>IF($E1284="","",IF($K1284&lt;=0.005,"PAID OFF","POSTED"))</f>
        <v/>
      </c>
      <c r="O1284" s="23" t="str">
        <f t="shared" si="171"/>
        <v/>
      </c>
    </row>
    <row r="1285" spans="1:15" ht="20" customHeight="1">
      <c r="A1285" s="22" t="str">
        <f t="shared" si="172"/>
        <v/>
      </c>
      <c r="B1285" s="23" t="str">
        <f>IF($E1285="","",259)</f>
        <v/>
      </c>
      <c r="C1285" s="24" t="str">
        <f>IF($E1285="","",Inputs!$B$9+(258*Inputs!$B$21))</f>
        <v/>
      </c>
      <c r="D1285" s="23" t="str">
        <f t="shared" si="173"/>
        <v/>
      </c>
      <c r="E1285" s="25" t="str">
        <f t="shared" si="174"/>
        <v/>
      </c>
      <c r="F1285" s="25" t="str">
        <f>IF($E1285="","",ROUND(MIN(Comparison!$E$5,MAX(0,$E1285+$H1285)),2))</f>
        <v/>
      </c>
      <c r="G1285" s="25" t="str">
        <f>IF($E1285="","",ROUND(MIN(Inputs!$B$10,MAX(0,$E1285+$H1285-$F1285)),2))</f>
        <v/>
      </c>
      <c r="H1285" s="25" t="str">
        <f>IF($E1285="","",ROUND(IF(Inputs!$B$12="Daily Simple Interest",$E1285*Inputs!$B$6/Inputs!$B$17*$D1285,$E1285*Inputs!$B$6/Inputs!$B$20),2))</f>
        <v/>
      </c>
      <c r="I1285" s="25" t="str">
        <f>IF($E1285="","",0)</f>
        <v/>
      </c>
      <c r="J1285" s="25" t="str">
        <f>IF($E1285="","",IF($F1285+$G1285&gt;0,Inputs!$B$11,0))</f>
        <v/>
      </c>
      <c r="K1285" s="25" t="str">
        <f>IF($E1285="","",$E1285)</f>
        <v/>
      </c>
      <c r="L1285" s="25" t="str">
        <f>IF($E1285="","",0)</f>
        <v/>
      </c>
      <c r="M1285" s="25" t="str">
        <f>IF($E1285="","",$F1285+$G1285)</f>
        <v/>
      </c>
      <c r="N1285" s="84" t="str">
        <f>IF($E1285="","","HELD")</f>
        <v/>
      </c>
      <c r="O1285" s="23" t="str">
        <f t="shared" si="171"/>
        <v/>
      </c>
    </row>
    <row r="1286" spans="1:15" ht="20" customHeight="1">
      <c r="A1286" s="22" t="str">
        <f t="shared" si="172"/>
        <v/>
      </c>
      <c r="B1286" s="23" t="str">
        <f>IF($E1286="","",260)</f>
        <v/>
      </c>
      <c r="C1286" s="24" t="str">
        <f>IF($E1286="","",Inputs!$B$9+(259*Inputs!$B$21))</f>
        <v/>
      </c>
      <c r="D1286" s="23" t="str">
        <f t="shared" si="173"/>
        <v/>
      </c>
      <c r="E1286" s="25" t="str">
        <f t="shared" si="174"/>
        <v/>
      </c>
      <c r="F1286" s="25" t="str">
        <f>IF($E1286="","",ROUND(MIN(Comparison!$E$5,MAX(0,$E1286+$H1285+$H1286-$M1285)),2))</f>
        <v/>
      </c>
      <c r="G1286" s="25" t="str">
        <f>IF($E1286="","",ROUND(MIN(Inputs!$B$10,MAX(0,$E1286+$H1285+$H1286-$M1285-$F1286)),2))</f>
        <v/>
      </c>
      <c r="H1286" s="25" t="str">
        <f>IF($E1286="","",ROUND(IF(Inputs!$B$12="Daily Simple Interest",$E1286*Inputs!$B$6/Inputs!$B$17*$D1286,$E1286*Inputs!$B$6/Inputs!$B$20),2))</f>
        <v/>
      </c>
      <c r="I1286" s="25" t="str">
        <f>IF($E1286="","",ROUND($L1286-$H1285-$H1286,2))</f>
        <v/>
      </c>
      <c r="J1286" s="25" t="str">
        <f>IF($E1286="","",IF($F1286+$G1286&gt;0,Inputs!$B$11,0))</f>
        <v/>
      </c>
      <c r="K1286" s="25" t="str">
        <f>IF($E1286="","",ROUND(MAX(0,$E1286-$I1286),2))</f>
        <v/>
      </c>
      <c r="L1286" s="25" t="str">
        <f>IF($E1286="","",$M1285+$F1286+$G1286)</f>
        <v/>
      </c>
      <c r="M1286" s="25" t="str">
        <f>IF($E1286="","",0)</f>
        <v/>
      </c>
      <c r="N1286" s="84" t="str">
        <f>IF($E1286="","",IF($K1286&lt;=0.005,"PAID OFF","POSTED"))</f>
        <v/>
      </c>
      <c r="O1286" s="23" t="str">
        <f t="shared" si="171"/>
        <v/>
      </c>
    </row>
    <row r="1287" spans="1:15" ht="20" customHeight="1">
      <c r="A1287" s="22" t="str">
        <f t="shared" si="172"/>
        <v/>
      </c>
      <c r="B1287" s="23" t="str">
        <f>IF($E1287="","",261)</f>
        <v/>
      </c>
      <c r="C1287" s="24" t="str">
        <f>IF($E1287="","",Inputs!$B$9+(260*Inputs!$B$21))</f>
        <v/>
      </c>
      <c r="D1287" s="23" t="str">
        <f t="shared" si="173"/>
        <v/>
      </c>
      <c r="E1287" s="25" t="str">
        <f t="shared" si="174"/>
        <v/>
      </c>
      <c r="F1287" s="25" t="str">
        <f>IF($E1287="","",ROUND(MIN(Comparison!$E$5,MAX(0,$E1287+$H1287)),2))</f>
        <v/>
      </c>
      <c r="G1287" s="25" t="str">
        <f>IF($E1287="","",ROUND(MIN(Inputs!$B$10,MAX(0,$E1287+$H1287-$F1287)),2))</f>
        <v/>
      </c>
      <c r="H1287" s="25" t="str">
        <f>IF($E1287="","",ROUND(IF(Inputs!$B$12="Daily Simple Interest",$E1287*Inputs!$B$6/Inputs!$B$17*$D1287,$E1287*Inputs!$B$6/Inputs!$B$20),2))</f>
        <v/>
      </c>
      <c r="I1287" s="25" t="str">
        <f>IF($E1287="","",0)</f>
        <v/>
      </c>
      <c r="J1287" s="25" t="str">
        <f>IF($E1287="","",IF($F1287+$G1287&gt;0,Inputs!$B$11,0))</f>
        <v/>
      </c>
      <c r="K1287" s="25" t="str">
        <f>IF($E1287="","",$E1287)</f>
        <v/>
      </c>
      <c r="L1287" s="25" t="str">
        <f>IF($E1287="","",0)</f>
        <v/>
      </c>
      <c r="M1287" s="25" t="str">
        <f>IF($E1287="","",$F1287+$G1287)</f>
        <v/>
      </c>
      <c r="N1287" s="84" t="str">
        <f>IF($E1287="","","HELD")</f>
        <v/>
      </c>
      <c r="O1287" s="23" t="str">
        <f t="shared" ref="O1287:O1350" si="175">IF($E1287="","",IF($F1287+$G1287&gt;0,1,0))</f>
        <v/>
      </c>
    </row>
    <row r="1288" spans="1:15" ht="20" customHeight="1">
      <c r="A1288" s="22" t="str">
        <f t="shared" si="172"/>
        <v/>
      </c>
      <c r="B1288" s="23" t="str">
        <f>IF($E1288="","",262)</f>
        <v/>
      </c>
      <c r="C1288" s="24" t="str">
        <f>IF($E1288="","",Inputs!$B$9+(261*Inputs!$B$21))</f>
        <v/>
      </c>
      <c r="D1288" s="23" t="str">
        <f t="shared" si="173"/>
        <v/>
      </c>
      <c r="E1288" s="25" t="str">
        <f t="shared" si="174"/>
        <v/>
      </c>
      <c r="F1288" s="25" t="str">
        <f>IF($E1288="","",ROUND(MIN(Comparison!$E$5,MAX(0,$E1288+$H1287+$H1288-$M1287)),2))</f>
        <v/>
      </c>
      <c r="G1288" s="25" t="str">
        <f>IF($E1288="","",ROUND(MIN(Inputs!$B$10,MAX(0,$E1288+$H1287+$H1288-$M1287-$F1288)),2))</f>
        <v/>
      </c>
      <c r="H1288" s="25" t="str">
        <f>IF($E1288="","",ROUND(IF(Inputs!$B$12="Daily Simple Interest",$E1288*Inputs!$B$6/Inputs!$B$17*$D1288,$E1288*Inputs!$B$6/Inputs!$B$20),2))</f>
        <v/>
      </c>
      <c r="I1288" s="25" t="str">
        <f>IF($E1288="","",ROUND($L1288-$H1287-$H1288,2))</f>
        <v/>
      </c>
      <c r="J1288" s="25" t="str">
        <f>IF($E1288="","",IF($F1288+$G1288&gt;0,Inputs!$B$11,0))</f>
        <v/>
      </c>
      <c r="K1288" s="25" t="str">
        <f>IF($E1288="","",ROUND(MAX(0,$E1288-$I1288),2))</f>
        <v/>
      </c>
      <c r="L1288" s="25" t="str">
        <f>IF($E1288="","",$M1287+$F1288+$G1288)</f>
        <v/>
      </c>
      <c r="M1288" s="25" t="str">
        <f>IF($E1288="","",0)</f>
        <v/>
      </c>
      <c r="N1288" s="84" t="str">
        <f>IF($E1288="","",IF($K1288&lt;=0.005,"PAID OFF","POSTED"))</f>
        <v/>
      </c>
      <c r="O1288" s="23" t="str">
        <f t="shared" si="175"/>
        <v/>
      </c>
    </row>
    <row r="1289" spans="1:15" ht="20" customHeight="1">
      <c r="A1289" s="22" t="str">
        <f t="shared" si="172"/>
        <v/>
      </c>
      <c r="B1289" s="23" t="str">
        <f>IF($E1289="","",263)</f>
        <v/>
      </c>
      <c r="C1289" s="24" t="str">
        <f>IF($E1289="","",Inputs!$B$9+(262*Inputs!$B$21))</f>
        <v/>
      </c>
      <c r="D1289" s="23" t="str">
        <f t="shared" si="173"/>
        <v/>
      </c>
      <c r="E1289" s="25" t="str">
        <f t="shared" si="174"/>
        <v/>
      </c>
      <c r="F1289" s="25" t="str">
        <f>IF($E1289="","",ROUND(MIN(Comparison!$E$5,MAX(0,$E1289+$H1289)),2))</f>
        <v/>
      </c>
      <c r="G1289" s="25" t="str">
        <f>IF($E1289="","",ROUND(MIN(Inputs!$B$10,MAX(0,$E1289+$H1289-$F1289)),2))</f>
        <v/>
      </c>
      <c r="H1289" s="25" t="str">
        <f>IF($E1289="","",ROUND(IF(Inputs!$B$12="Daily Simple Interest",$E1289*Inputs!$B$6/Inputs!$B$17*$D1289,$E1289*Inputs!$B$6/Inputs!$B$20),2))</f>
        <v/>
      </c>
      <c r="I1289" s="25" t="str">
        <f>IF($E1289="","",0)</f>
        <v/>
      </c>
      <c r="J1289" s="25" t="str">
        <f>IF($E1289="","",IF($F1289+$G1289&gt;0,Inputs!$B$11,0))</f>
        <v/>
      </c>
      <c r="K1289" s="25" t="str">
        <f>IF($E1289="","",$E1289)</f>
        <v/>
      </c>
      <c r="L1289" s="25" t="str">
        <f>IF($E1289="","",0)</f>
        <v/>
      </c>
      <c r="M1289" s="25" t="str">
        <f>IF($E1289="","",$F1289+$G1289)</f>
        <v/>
      </c>
      <c r="N1289" s="84" t="str">
        <f>IF($E1289="","","HELD")</f>
        <v/>
      </c>
      <c r="O1289" s="23" t="str">
        <f t="shared" si="175"/>
        <v/>
      </c>
    </row>
    <row r="1290" spans="1:15" ht="20" customHeight="1">
      <c r="A1290" s="22" t="str">
        <f t="shared" si="172"/>
        <v/>
      </c>
      <c r="B1290" s="23" t="str">
        <f>IF($E1290="","",264)</f>
        <v/>
      </c>
      <c r="C1290" s="24" t="str">
        <f>IF($E1290="","",Inputs!$B$9+(263*Inputs!$B$21))</f>
        <v/>
      </c>
      <c r="D1290" s="23" t="str">
        <f t="shared" si="173"/>
        <v/>
      </c>
      <c r="E1290" s="25" t="str">
        <f t="shared" si="174"/>
        <v/>
      </c>
      <c r="F1290" s="25" t="str">
        <f>IF($E1290="","",ROUND(MIN(Comparison!$E$5,MAX(0,$E1290+$H1289+$H1290-$M1289)),2))</f>
        <v/>
      </c>
      <c r="G1290" s="25" t="str">
        <f>IF($E1290="","",ROUND(MIN(Inputs!$B$10,MAX(0,$E1290+$H1289+$H1290-$M1289-$F1290)),2))</f>
        <v/>
      </c>
      <c r="H1290" s="25" t="str">
        <f>IF($E1290="","",ROUND(IF(Inputs!$B$12="Daily Simple Interest",$E1290*Inputs!$B$6/Inputs!$B$17*$D1290,$E1290*Inputs!$B$6/Inputs!$B$20),2))</f>
        <v/>
      </c>
      <c r="I1290" s="25" t="str">
        <f>IF($E1290="","",ROUND($L1290-$H1289-$H1290,2))</f>
        <v/>
      </c>
      <c r="J1290" s="25" t="str">
        <f>IF($E1290="","",IF($F1290+$G1290&gt;0,Inputs!$B$11,0))</f>
        <v/>
      </c>
      <c r="K1290" s="25" t="str">
        <f>IF($E1290="","",ROUND(MAX(0,$E1290-$I1290),2))</f>
        <v/>
      </c>
      <c r="L1290" s="25" t="str">
        <f>IF($E1290="","",$M1289+$F1290+$G1290)</f>
        <v/>
      </c>
      <c r="M1290" s="25" t="str">
        <f>IF($E1290="","",0)</f>
        <v/>
      </c>
      <c r="N1290" s="84" t="str">
        <f>IF($E1290="","",IF($K1290&lt;=0.005,"PAID OFF","POSTED"))</f>
        <v/>
      </c>
      <c r="O1290" s="23" t="str">
        <f t="shared" si="175"/>
        <v/>
      </c>
    </row>
    <row r="1291" spans="1:15" ht="20" customHeight="1">
      <c r="A1291" s="22" t="str">
        <f t="shared" si="172"/>
        <v/>
      </c>
      <c r="B1291" s="23" t="str">
        <f>IF($E1291="","",265)</f>
        <v/>
      </c>
      <c r="C1291" s="24" t="str">
        <f>IF($E1291="","",Inputs!$B$9+(264*Inputs!$B$21))</f>
        <v/>
      </c>
      <c r="D1291" s="23" t="str">
        <f t="shared" si="173"/>
        <v/>
      </c>
      <c r="E1291" s="25" t="str">
        <f t="shared" si="174"/>
        <v/>
      </c>
      <c r="F1291" s="25" t="str">
        <f>IF($E1291="","",ROUND(MIN(Comparison!$E$5,MAX(0,$E1291+$H1291)),2))</f>
        <v/>
      </c>
      <c r="G1291" s="25" t="str">
        <f>IF($E1291="","",ROUND(MIN(Inputs!$B$10,MAX(0,$E1291+$H1291-$F1291)),2))</f>
        <v/>
      </c>
      <c r="H1291" s="25" t="str">
        <f>IF($E1291="","",ROUND(IF(Inputs!$B$12="Daily Simple Interest",$E1291*Inputs!$B$6/Inputs!$B$17*$D1291,$E1291*Inputs!$B$6/Inputs!$B$20),2))</f>
        <v/>
      </c>
      <c r="I1291" s="25" t="str">
        <f>IF($E1291="","",0)</f>
        <v/>
      </c>
      <c r="J1291" s="25" t="str">
        <f>IF($E1291="","",IF($F1291+$G1291&gt;0,Inputs!$B$11,0))</f>
        <v/>
      </c>
      <c r="K1291" s="25" t="str">
        <f>IF($E1291="","",$E1291)</f>
        <v/>
      </c>
      <c r="L1291" s="25" t="str">
        <f>IF($E1291="","",0)</f>
        <v/>
      </c>
      <c r="M1291" s="25" t="str">
        <f>IF($E1291="","",$F1291+$G1291)</f>
        <v/>
      </c>
      <c r="N1291" s="84" t="str">
        <f>IF($E1291="","","HELD")</f>
        <v/>
      </c>
      <c r="O1291" s="23" t="str">
        <f t="shared" si="175"/>
        <v/>
      </c>
    </row>
    <row r="1292" spans="1:15" ht="20" customHeight="1">
      <c r="A1292" s="22" t="str">
        <f t="shared" si="172"/>
        <v/>
      </c>
      <c r="B1292" s="23" t="str">
        <f>IF($E1292="","",266)</f>
        <v/>
      </c>
      <c r="C1292" s="24" t="str">
        <f>IF($E1292="","",Inputs!$B$9+(265*Inputs!$B$21))</f>
        <v/>
      </c>
      <c r="D1292" s="23" t="str">
        <f t="shared" si="173"/>
        <v/>
      </c>
      <c r="E1292" s="25" t="str">
        <f t="shared" si="174"/>
        <v/>
      </c>
      <c r="F1292" s="25" t="str">
        <f>IF($E1292="","",ROUND(MIN(Comparison!$E$5,MAX(0,$E1292+$H1291+$H1292-$M1291)),2))</f>
        <v/>
      </c>
      <c r="G1292" s="25" t="str">
        <f>IF($E1292="","",ROUND(MIN(Inputs!$B$10,MAX(0,$E1292+$H1291+$H1292-$M1291-$F1292)),2))</f>
        <v/>
      </c>
      <c r="H1292" s="25" t="str">
        <f>IF($E1292="","",ROUND(IF(Inputs!$B$12="Daily Simple Interest",$E1292*Inputs!$B$6/Inputs!$B$17*$D1292,$E1292*Inputs!$B$6/Inputs!$B$20),2))</f>
        <v/>
      </c>
      <c r="I1292" s="25" t="str">
        <f>IF($E1292="","",ROUND($L1292-$H1291-$H1292,2))</f>
        <v/>
      </c>
      <c r="J1292" s="25" t="str">
        <f>IF($E1292="","",IF($F1292+$G1292&gt;0,Inputs!$B$11,0))</f>
        <v/>
      </c>
      <c r="K1292" s="25" t="str">
        <f>IF($E1292="","",ROUND(MAX(0,$E1292-$I1292),2))</f>
        <v/>
      </c>
      <c r="L1292" s="25" t="str">
        <f>IF($E1292="","",$M1291+$F1292+$G1292)</f>
        <v/>
      </c>
      <c r="M1292" s="25" t="str">
        <f>IF($E1292="","",0)</f>
        <v/>
      </c>
      <c r="N1292" s="84" t="str">
        <f>IF($E1292="","",IF($K1292&lt;=0.005,"PAID OFF","POSTED"))</f>
        <v/>
      </c>
      <c r="O1292" s="23" t="str">
        <f t="shared" si="175"/>
        <v/>
      </c>
    </row>
    <row r="1293" spans="1:15" ht="20" customHeight="1">
      <c r="A1293" s="22" t="str">
        <f t="shared" si="172"/>
        <v/>
      </c>
      <c r="B1293" s="23" t="str">
        <f>IF($E1293="","",267)</f>
        <v/>
      </c>
      <c r="C1293" s="24" t="str">
        <f>IF($E1293="","",Inputs!$B$9+(266*Inputs!$B$21))</f>
        <v/>
      </c>
      <c r="D1293" s="23" t="str">
        <f t="shared" si="173"/>
        <v/>
      </c>
      <c r="E1293" s="25" t="str">
        <f t="shared" si="174"/>
        <v/>
      </c>
      <c r="F1293" s="25" t="str">
        <f>IF($E1293="","",ROUND(MIN(Comparison!$E$5,MAX(0,$E1293+$H1293)),2))</f>
        <v/>
      </c>
      <c r="G1293" s="25" t="str">
        <f>IF($E1293="","",ROUND(MIN(Inputs!$B$10,MAX(0,$E1293+$H1293-$F1293)),2))</f>
        <v/>
      </c>
      <c r="H1293" s="25" t="str">
        <f>IF($E1293="","",ROUND(IF(Inputs!$B$12="Daily Simple Interest",$E1293*Inputs!$B$6/Inputs!$B$17*$D1293,$E1293*Inputs!$B$6/Inputs!$B$20),2))</f>
        <v/>
      </c>
      <c r="I1293" s="25" t="str">
        <f>IF($E1293="","",0)</f>
        <v/>
      </c>
      <c r="J1293" s="25" t="str">
        <f>IF($E1293="","",IF($F1293+$G1293&gt;0,Inputs!$B$11,0))</f>
        <v/>
      </c>
      <c r="K1293" s="25" t="str">
        <f>IF($E1293="","",$E1293)</f>
        <v/>
      </c>
      <c r="L1293" s="25" t="str">
        <f>IF($E1293="","",0)</f>
        <v/>
      </c>
      <c r="M1293" s="25" t="str">
        <f>IF($E1293="","",$F1293+$G1293)</f>
        <v/>
      </c>
      <c r="N1293" s="84" t="str">
        <f>IF($E1293="","","HELD")</f>
        <v/>
      </c>
      <c r="O1293" s="23" t="str">
        <f t="shared" si="175"/>
        <v/>
      </c>
    </row>
    <row r="1294" spans="1:15" ht="20" customHeight="1">
      <c r="A1294" s="22" t="str">
        <f t="shared" si="172"/>
        <v/>
      </c>
      <c r="B1294" s="23" t="str">
        <f>IF($E1294="","",268)</f>
        <v/>
      </c>
      <c r="C1294" s="24" t="str">
        <f>IF($E1294="","",Inputs!$B$9+(267*Inputs!$B$21))</f>
        <v/>
      </c>
      <c r="D1294" s="23" t="str">
        <f t="shared" si="173"/>
        <v/>
      </c>
      <c r="E1294" s="25" t="str">
        <f t="shared" si="174"/>
        <v/>
      </c>
      <c r="F1294" s="25" t="str">
        <f>IF($E1294="","",ROUND(MIN(Comparison!$E$5,MAX(0,$E1294+$H1293+$H1294-$M1293)),2))</f>
        <v/>
      </c>
      <c r="G1294" s="25" t="str">
        <f>IF($E1294="","",ROUND(MIN(Inputs!$B$10,MAX(0,$E1294+$H1293+$H1294-$M1293-$F1294)),2))</f>
        <v/>
      </c>
      <c r="H1294" s="25" t="str">
        <f>IF($E1294="","",ROUND(IF(Inputs!$B$12="Daily Simple Interest",$E1294*Inputs!$B$6/Inputs!$B$17*$D1294,$E1294*Inputs!$B$6/Inputs!$B$20),2))</f>
        <v/>
      </c>
      <c r="I1294" s="25" t="str">
        <f>IF($E1294="","",ROUND($L1294-$H1293-$H1294,2))</f>
        <v/>
      </c>
      <c r="J1294" s="25" t="str">
        <f>IF($E1294="","",IF($F1294+$G1294&gt;0,Inputs!$B$11,0))</f>
        <v/>
      </c>
      <c r="K1294" s="25" t="str">
        <f>IF($E1294="","",ROUND(MAX(0,$E1294-$I1294),2))</f>
        <v/>
      </c>
      <c r="L1294" s="25" t="str">
        <f>IF($E1294="","",$M1293+$F1294+$G1294)</f>
        <v/>
      </c>
      <c r="M1294" s="25" t="str">
        <f>IF($E1294="","",0)</f>
        <v/>
      </c>
      <c r="N1294" s="84" t="str">
        <f>IF($E1294="","",IF($K1294&lt;=0.005,"PAID OFF","POSTED"))</f>
        <v/>
      </c>
      <c r="O1294" s="23" t="str">
        <f t="shared" si="175"/>
        <v/>
      </c>
    </row>
    <row r="1295" spans="1:15" ht="20" customHeight="1">
      <c r="A1295" s="22" t="str">
        <f t="shared" si="172"/>
        <v/>
      </c>
      <c r="B1295" s="23" t="str">
        <f>IF($E1295="","",269)</f>
        <v/>
      </c>
      <c r="C1295" s="24" t="str">
        <f>IF($E1295="","",Inputs!$B$9+(268*Inputs!$B$21))</f>
        <v/>
      </c>
      <c r="D1295" s="23" t="str">
        <f t="shared" si="173"/>
        <v/>
      </c>
      <c r="E1295" s="25" t="str">
        <f t="shared" si="174"/>
        <v/>
      </c>
      <c r="F1295" s="25" t="str">
        <f>IF($E1295="","",ROUND(MIN(Comparison!$E$5,MAX(0,$E1295+$H1295)),2))</f>
        <v/>
      </c>
      <c r="G1295" s="25" t="str">
        <f>IF($E1295="","",ROUND(MIN(Inputs!$B$10,MAX(0,$E1295+$H1295-$F1295)),2))</f>
        <v/>
      </c>
      <c r="H1295" s="25" t="str">
        <f>IF($E1295="","",ROUND(IF(Inputs!$B$12="Daily Simple Interest",$E1295*Inputs!$B$6/Inputs!$B$17*$D1295,$E1295*Inputs!$B$6/Inputs!$B$20),2))</f>
        <v/>
      </c>
      <c r="I1295" s="25" t="str">
        <f>IF($E1295="","",0)</f>
        <v/>
      </c>
      <c r="J1295" s="25" t="str">
        <f>IF($E1295="","",IF($F1295+$G1295&gt;0,Inputs!$B$11,0))</f>
        <v/>
      </c>
      <c r="K1295" s="25" t="str">
        <f>IF($E1295="","",$E1295)</f>
        <v/>
      </c>
      <c r="L1295" s="25" t="str">
        <f>IF($E1295="","",0)</f>
        <v/>
      </c>
      <c r="M1295" s="25" t="str">
        <f>IF($E1295="","",$F1295+$G1295)</f>
        <v/>
      </c>
      <c r="N1295" s="84" t="str">
        <f>IF($E1295="","","HELD")</f>
        <v/>
      </c>
      <c r="O1295" s="23" t="str">
        <f t="shared" si="175"/>
        <v/>
      </c>
    </row>
    <row r="1296" spans="1:15" ht="20" customHeight="1">
      <c r="A1296" s="22" t="str">
        <f t="shared" si="172"/>
        <v/>
      </c>
      <c r="B1296" s="23" t="str">
        <f>IF($E1296="","",270)</f>
        <v/>
      </c>
      <c r="C1296" s="24" t="str">
        <f>IF($E1296="","",Inputs!$B$9+(269*Inputs!$B$21))</f>
        <v/>
      </c>
      <c r="D1296" s="23" t="str">
        <f t="shared" si="173"/>
        <v/>
      </c>
      <c r="E1296" s="25" t="str">
        <f t="shared" si="174"/>
        <v/>
      </c>
      <c r="F1296" s="25" t="str">
        <f>IF($E1296="","",ROUND(MIN(Comparison!$E$5,MAX(0,$E1296+$H1295+$H1296-$M1295)),2))</f>
        <v/>
      </c>
      <c r="G1296" s="25" t="str">
        <f>IF($E1296="","",ROUND(MIN(Inputs!$B$10,MAX(0,$E1296+$H1295+$H1296-$M1295-$F1296)),2))</f>
        <v/>
      </c>
      <c r="H1296" s="25" t="str">
        <f>IF($E1296="","",ROUND(IF(Inputs!$B$12="Daily Simple Interest",$E1296*Inputs!$B$6/Inputs!$B$17*$D1296,$E1296*Inputs!$B$6/Inputs!$B$20),2))</f>
        <v/>
      </c>
      <c r="I1296" s="25" t="str">
        <f>IF($E1296="","",ROUND($L1296-$H1295-$H1296,2))</f>
        <v/>
      </c>
      <c r="J1296" s="25" t="str">
        <f>IF($E1296="","",IF($F1296+$G1296&gt;0,Inputs!$B$11,0))</f>
        <v/>
      </c>
      <c r="K1296" s="25" t="str">
        <f>IF($E1296="","",ROUND(MAX(0,$E1296-$I1296),2))</f>
        <v/>
      </c>
      <c r="L1296" s="25" t="str">
        <f>IF($E1296="","",$M1295+$F1296+$G1296)</f>
        <v/>
      </c>
      <c r="M1296" s="25" t="str">
        <f>IF($E1296="","",0)</f>
        <v/>
      </c>
      <c r="N1296" s="84" t="str">
        <f>IF($E1296="","",IF($K1296&lt;=0.005,"PAID OFF","POSTED"))</f>
        <v/>
      </c>
      <c r="O1296" s="23" t="str">
        <f t="shared" si="175"/>
        <v/>
      </c>
    </row>
    <row r="1297" spans="1:15" ht="20" customHeight="1">
      <c r="A1297" s="22" t="str">
        <f t="shared" si="172"/>
        <v/>
      </c>
      <c r="B1297" s="23" t="str">
        <f>IF($E1297="","",271)</f>
        <v/>
      </c>
      <c r="C1297" s="24" t="str">
        <f>IF($E1297="","",Inputs!$B$9+(270*Inputs!$B$21))</f>
        <v/>
      </c>
      <c r="D1297" s="23" t="str">
        <f t="shared" si="173"/>
        <v/>
      </c>
      <c r="E1297" s="25" t="str">
        <f t="shared" si="174"/>
        <v/>
      </c>
      <c r="F1297" s="25" t="str">
        <f>IF($E1297="","",ROUND(MIN(Comparison!$E$5,MAX(0,$E1297+$H1297)),2))</f>
        <v/>
      </c>
      <c r="G1297" s="25" t="str">
        <f>IF($E1297="","",ROUND(MIN(Inputs!$B$10,MAX(0,$E1297+$H1297-$F1297)),2))</f>
        <v/>
      </c>
      <c r="H1297" s="25" t="str">
        <f>IF($E1297="","",ROUND(IF(Inputs!$B$12="Daily Simple Interest",$E1297*Inputs!$B$6/Inputs!$B$17*$D1297,$E1297*Inputs!$B$6/Inputs!$B$20),2))</f>
        <v/>
      </c>
      <c r="I1297" s="25" t="str">
        <f>IF($E1297="","",0)</f>
        <v/>
      </c>
      <c r="J1297" s="25" t="str">
        <f>IF($E1297="","",IF($F1297+$G1297&gt;0,Inputs!$B$11,0))</f>
        <v/>
      </c>
      <c r="K1297" s="25" t="str">
        <f>IF($E1297="","",$E1297)</f>
        <v/>
      </c>
      <c r="L1297" s="25" t="str">
        <f>IF($E1297="","",0)</f>
        <v/>
      </c>
      <c r="M1297" s="25" t="str">
        <f>IF($E1297="","",$F1297+$G1297)</f>
        <v/>
      </c>
      <c r="N1297" s="84" t="str">
        <f>IF($E1297="","","HELD")</f>
        <v/>
      </c>
      <c r="O1297" s="23" t="str">
        <f t="shared" si="175"/>
        <v/>
      </c>
    </row>
    <row r="1298" spans="1:15" ht="20" customHeight="1">
      <c r="A1298" s="22" t="str">
        <f t="shared" si="172"/>
        <v/>
      </c>
      <c r="B1298" s="23" t="str">
        <f>IF($E1298="","",272)</f>
        <v/>
      </c>
      <c r="C1298" s="24" t="str">
        <f>IF($E1298="","",Inputs!$B$9+(271*Inputs!$B$21))</f>
        <v/>
      </c>
      <c r="D1298" s="23" t="str">
        <f t="shared" si="173"/>
        <v/>
      </c>
      <c r="E1298" s="25" t="str">
        <f t="shared" si="174"/>
        <v/>
      </c>
      <c r="F1298" s="25" t="str">
        <f>IF($E1298="","",ROUND(MIN(Comparison!$E$5,MAX(0,$E1298+$H1297+$H1298-$M1297)),2))</f>
        <v/>
      </c>
      <c r="G1298" s="25" t="str">
        <f>IF($E1298="","",ROUND(MIN(Inputs!$B$10,MAX(0,$E1298+$H1297+$H1298-$M1297-$F1298)),2))</f>
        <v/>
      </c>
      <c r="H1298" s="25" t="str">
        <f>IF($E1298="","",ROUND(IF(Inputs!$B$12="Daily Simple Interest",$E1298*Inputs!$B$6/Inputs!$B$17*$D1298,$E1298*Inputs!$B$6/Inputs!$B$20),2))</f>
        <v/>
      </c>
      <c r="I1298" s="25" t="str">
        <f>IF($E1298="","",ROUND($L1298-$H1297-$H1298,2))</f>
        <v/>
      </c>
      <c r="J1298" s="25" t="str">
        <f>IF($E1298="","",IF($F1298+$G1298&gt;0,Inputs!$B$11,0))</f>
        <v/>
      </c>
      <c r="K1298" s="25" t="str">
        <f>IF($E1298="","",ROUND(MAX(0,$E1298-$I1298),2))</f>
        <v/>
      </c>
      <c r="L1298" s="25" t="str">
        <f>IF($E1298="","",$M1297+$F1298+$G1298)</f>
        <v/>
      </c>
      <c r="M1298" s="25" t="str">
        <f>IF($E1298="","",0)</f>
        <v/>
      </c>
      <c r="N1298" s="84" t="str">
        <f>IF($E1298="","",IF($K1298&lt;=0.005,"PAID OFF","POSTED"))</f>
        <v/>
      </c>
      <c r="O1298" s="23" t="str">
        <f t="shared" si="175"/>
        <v/>
      </c>
    </row>
    <row r="1299" spans="1:15" ht="20" customHeight="1">
      <c r="A1299" s="22" t="str">
        <f t="shared" si="172"/>
        <v/>
      </c>
      <c r="B1299" s="23" t="str">
        <f>IF($E1299="","",273)</f>
        <v/>
      </c>
      <c r="C1299" s="24" t="str">
        <f>IF($E1299="","",Inputs!$B$9+(272*Inputs!$B$21))</f>
        <v/>
      </c>
      <c r="D1299" s="23" t="str">
        <f t="shared" si="173"/>
        <v/>
      </c>
      <c r="E1299" s="25" t="str">
        <f t="shared" si="174"/>
        <v/>
      </c>
      <c r="F1299" s="25" t="str">
        <f>IF($E1299="","",ROUND(MIN(Comparison!$E$5,MAX(0,$E1299+$H1299)),2))</f>
        <v/>
      </c>
      <c r="G1299" s="25" t="str">
        <f>IF($E1299="","",ROUND(MIN(Inputs!$B$10,MAX(0,$E1299+$H1299-$F1299)),2))</f>
        <v/>
      </c>
      <c r="H1299" s="25" t="str">
        <f>IF($E1299="","",ROUND(IF(Inputs!$B$12="Daily Simple Interest",$E1299*Inputs!$B$6/Inputs!$B$17*$D1299,$E1299*Inputs!$B$6/Inputs!$B$20),2))</f>
        <v/>
      </c>
      <c r="I1299" s="25" t="str">
        <f>IF($E1299="","",0)</f>
        <v/>
      </c>
      <c r="J1299" s="25" t="str">
        <f>IF($E1299="","",IF($F1299+$G1299&gt;0,Inputs!$B$11,0))</f>
        <v/>
      </c>
      <c r="K1299" s="25" t="str">
        <f>IF($E1299="","",$E1299)</f>
        <v/>
      </c>
      <c r="L1299" s="25" t="str">
        <f>IF($E1299="","",0)</f>
        <v/>
      </c>
      <c r="M1299" s="25" t="str">
        <f>IF($E1299="","",$F1299+$G1299)</f>
        <v/>
      </c>
      <c r="N1299" s="84" t="str">
        <f>IF($E1299="","","HELD")</f>
        <v/>
      </c>
      <c r="O1299" s="23" t="str">
        <f t="shared" si="175"/>
        <v/>
      </c>
    </row>
    <row r="1300" spans="1:15" ht="20" customHeight="1">
      <c r="A1300" s="22" t="str">
        <f t="shared" si="172"/>
        <v/>
      </c>
      <c r="B1300" s="23" t="str">
        <f>IF($E1300="","",274)</f>
        <v/>
      </c>
      <c r="C1300" s="24" t="str">
        <f>IF($E1300="","",Inputs!$B$9+(273*Inputs!$B$21))</f>
        <v/>
      </c>
      <c r="D1300" s="23" t="str">
        <f t="shared" si="173"/>
        <v/>
      </c>
      <c r="E1300" s="25" t="str">
        <f t="shared" si="174"/>
        <v/>
      </c>
      <c r="F1300" s="25" t="str">
        <f>IF($E1300="","",ROUND(MIN(Comparison!$E$5,MAX(0,$E1300+$H1299+$H1300-$M1299)),2))</f>
        <v/>
      </c>
      <c r="G1300" s="25" t="str">
        <f>IF($E1300="","",ROUND(MIN(Inputs!$B$10,MAX(0,$E1300+$H1299+$H1300-$M1299-$F1300)),2))</f>
        <v/>
      </c>
      <c r="H1300" s="25" t="str">
        <f>IF($E1300="","",ROUND(IF(Inputs!$B$12="Daily Simple Interest",$E1300*Inputs!$B$6/Inputs!$B$17*$D1300,$E1300*Inputs!$B$6/Inputs!$B$20),2))</f>
        <v/>
      </c>
      <c r="I1300" s="25" t="str">
        <f>IF($E1300="","",ROUND($L1300-$H1299-$H1300,2))</f>
        <v/>
      </c>
      <c r="J1300" s="25" t="str">
        <f>IF($E1300="","",IF($F1300+$G1300&gt;0,Inputs!$B$11,0))</f>
        <v/>
      </c>
      <c r="K1300" s="25" t="str">
        <f>IF($E1300="","",ROUND(MAX(0,$E1300-$I1300),2))</f>
        <v/>
      </c>
      <c r="L1300" s="25" t="str">
        <f>IF($E1300="","",$M1299+$F1300+$G1300)</f>
        <v/>
      </c>
      <c r="M1300" s="25" t="str">
        <f>IF($E1300="","",0)</f>
        <v/>
      </c>
      <c r="N1300" s="84" t="str">
        <f>IF($E1300="","",IF($K1300&lt;=0.005,"PAID OFF","POSTED"))</f>
        <v/>
      </c>
      <c r="O1300" s="23" t="str">
        <f t="shared" si="175"/>
        <v/>
      </c>
    </row>
    <row r="1301" spans="1:15" ht="20" customHeight="1">
      <c r="A1301" s="22" t="str">
        <f t="shared" si="172"/>
        <v/>
      </c>
      <c r="B1301" s="23" t="str">
        <f>IF($E1301="","",275)</f>
        <v/>
      </c>
      <c r="C1301" s="24" t="str">
        <f>IF($E1301="","",Inputs!$B$9+(274*Inputs!$B$21))</f>
        <v/>
      </c>
      <c r="D1301" s="23" t="str">
        <f t="shared" si="173"/>
        <v/>
      </c>
      <c r="E1301" s="25" t="str">
        <f t="shared" si="174"/>
        <v/>
      </c>
      <c r="F1301" s="25" t="str">
        <f>IF($E1301="","",ROUND(MIN(Comparison!$E$5,MAX(0,$E1301+$H1301)),2))</f>
        <v/>
      </c>
      <c r="G1301" s="25" t="str">
        <f>IF($E1301="","",ROUND(MIN(Inputs!$B$10,MAX(0,$E1301+$H1301-$F1301)),2))</f>
        <v/>
      </c>
      <c r="H1301" s="25" t="str">
        <f>IF($E1301="","",ROUND(IF(Inputs!$B$12="Daily Simple Interest",$E1301*Inputs!$B$6/Inputs!$B$17*$D1301,$E1301*Inputs!$B$6/Inputs!$B$20),2))</f>
        <v/>
      </c>
      <c r="I1301" s="25" t="str">
        <f>IF($E1301="","",0)</f>
        <v/>
      </c>
      <c r="J1301" s="25" t="str">
        <f>IF($E1301="","",IF($F1301+$G1301&gt;0,Inputs!$B$11,0))</f>
        <v/>
      </c>
      <c r="K1301" s="25" t="str">
        <f>IF($E1301="","",$E1301)</f>
        <v/>
      </c>
      <c r="L1301" s="25" t="str">
        <f>IF($E1301="","",0)</f>
        <v/>
      </c>
      <c r="M1301" s="25" t="str">
        <f>IF($E1301="","",$F1301+$G1301)</f>
        <v/>
      </c>
      <c r="N1301" s="84" t="str">
        <f>IF($E1301="","","HELD")</f>
        <v/>
      </c>
      <c r="O1301" s="23" t="str">
        <f t="shared" si="175"/>
        <v/>
      </c>
    </row>
    <row r="1302" spans="1:15" ht="20" customHeight="1">
      <c r="A1302" s="22" t="str">
        <f t="shared" si="172"/>
        <v/>
      </c>
      <c r="B1302" s="23" t="str">
        <f>IF($E1302="","",276)</f>
        <v/>
      </c>
      <c r="C1302" s="24" t="str">
        <f>IF($E1302="","",Inputs!$B$9+(275*Inputs!$B$21))</f>
        <v/>
      </c>
      <c r="D1302" s="23" t="str">
        <f t="shared" si="173"/>
        <v/>
      </c>
      <c r="E1302" s="25" t="str">
        <f t="shared" si="174"/>
        <v/>
      </c>
      <c r="F1302" s="25" t="str">
        <f>IF($E1302="","",ROUND(MIN(Comparison!$E$5,MAX(0,$E1302+$H1301+$H1302-$M1301)),2))</f>
        <v/>
      </c>
      <c r="G1302" s="25" t="str">
        <f>IF($E1302="","",ROUND(MIN(Inputs!$B$10,MAX(0,$E1302+$H1301+$H1302-$M1301-$F1302)),2))</f>
        <v/>
      </c>
      <c r="H1302" s="25" t="str">
        <f>IF($E1302="","",ROUND(IF(Inputs!$B$12="Daily Simple Interest",$E1302*Inputs!$B$6/Inputs!$B$17*$D1302,$E1302*Inputs!$B$6/Inputs!$B$20),2))</f>
        <v/>
      </c>
      <c r="I1302" s="25" t="str">
        <f>IF($E1302="","",ROUND($L1302-$H1301-$H1302,2))</f>
        <v/>
      </c>
      <c r="J1302" s="25" t="str">
        <f>IF($E1302="","",IF($F1302+$G1302&gt;0,Inputs!$B$11,0))</f>
        <v/>
      </c>
      <c r="K1302" s="25" t="str">
        <f>IF($E1302="","",ROUND(MAX(0,$E1302-$I1302),2))</f>
        <v/>
      </c>
      <c r="L1302" s="25" t="str">
        <f>IF($E1302="","",$M1301+$F1302+$G1302)</f>
        <v/>
      </c>
      <c r="M1302" s="25" t="str">
        <f>IF($E1302="","",0)</f>
        <v/>
      </c>
      <c r="N1302" s="84" t="str">
        <f>IF($E1302="","",IF($K1302&lt;=0.005,"PAID OFF","POSTED"))</f>
        <v/>
      </c>
      <c r="O1302" s="23" t="str">
        <f t="shared" si="175"/>
        <v/>
      </c>
    </row>
    <row r="1303" spans="1:15" ht="20" customHeight="1">
      <c r="A1303" s="22" t="str">
        <f t="shared" si="172"/>
        <v/>
      </c>
      <c r="B1303" s="23" t="str">
        <f>IF($E1303="","",277)</f>
        <v/>
      </c>
      <c r="C1303" s="24" t="str">
        <f>IF($E1303="","",Inputs!$B$9+(276*Inputs!$B$21))</f>
        <v/>
      </c>
      <c r="D1303" s="23" t="str">
        <f t="shared" si="173"/>
        <v/>
      </c>
      <c r="E1303" s="25" t="str">
        <f t="shared" si="174"/>
        <v/>
      </c>
      <c r="F1303" s="25" t="str">
        <f>IF($E1303="","",ROUND(MIN(Comparison!$E$5,MAX(0,$E1303+$H1303)),2))</f>
        <v/>
      </c>
      <c r="G1303" s="25" t="str">
        <f>IF($E1303="","",ROUND(MIN(Inputs!$B$10,MAX(0,$E1303+$H1303-$F1303)),2))</f>
        <v/>
      </c>
      <c r="H1303" s="25" t="str">
        <f>IF($E1303="","",ROUND(IF(Inputs!$B$12="Daily Simple Interest",$E1303*Inputs!$B$6/Inputs!$B$17*$D1303,$E1303*Inputs!$B$6/Inputs!$B$20),2))</f>
        <v/>
      </c>
      <c r="I1303" s="25" t="str">
        <f>IF($E1303="","",0)</f>
        <v/>
      </c>
      <c r="J1303" s="25" t="str">
        <f>IF($E1303="","",IF($F1303+$G1303&gt;0,Inputs!$B$11,0))</f>
        <v/>
      </c>
      <c r="K1303" s="25" t="str">
        <f>IF($E1303="","",$E1303)</f>
        <v/>
      </c>
      <c r="L1303" s="25" t="str">
        <f>IF($E1303="","",0)</f>
        <v/>
      </c>
      <c r="M1303" s="25" t="str">
        <f>IF($E1303="","",$F1303+$G1303)</f>
        <v/>
      </c>
      <c r="N1303" s="84" t="str">
        <f>IF($E1303="","","HELD")</f>
        <v/>
      </c>
      <c r="O1303" s="23" t="str">
        <f t="shared" si="175"/>
        <v/>
      </c>
    </row>
    <row r="1304" spans="1:15" ht="20" customHeight="1">
      <c r="A1304" s="22" t="str">
        <f t="shared" si="172"/>
        <v/>
      </c>
      <c r="B1304" s="23" t="str">
        <f>IF($E1304="","",278)</f>
        <v/>
      </c>
      <c r="C1304" s="24" t="str">
        <f>IF($E1304="","",Inputs!$B$9+(277*Inputs!$B$21))</f>
        <v/>
      </c>
      <c r="D1304" s="23" t="str">
        <f t="shared" si="173"/>
        <v/>
      </c>
      <c r="E1304" s="25" t="str">
        <f t="shared" si="174"/>
        <v/>
      </c>
      <c r="F1304" s="25" t="str">
        <f>IF($E1304="","",ROUND(MIN(Comparison!$E$5,MAX(0,$E1304+$H1303+$H1304-$M1303)),2))</f>
        <v/>
      </c>
      <c r="G1304" s="25" t="str">
        <f>IF($E1304="","",ROUND(MIN(Inputs!$B$10,MAX(0,$E1304+$H1303+$H1304-$M1303-$F1304)),2))</f>
        <v/>
      </c>
      <c r="H1304" s="25" t="str">
        <f>IF($E1304="","",ROUND(IF(Inputs!$B$12="Daily Simple Interest",$E1304*Inputs!$B$6/Inputs!$B$17*$D1304,$E1304*Inputs!$B$6/Inputs!$B$20),2))</f>
        <v/>
      </c>
      <c r="I1304" s="25" t="str">
        <f>IF($E1304="","",ROUND($L1304-$H1303-$H1304,2))</f>
        <v/>
      </c>
      <c r="J1304" s="25" t="str">
        <f>IF($E1304="","",IF($F1304+$G1304&gt;0,Inputs!$B$11,0))</f>
        <v/>
      </c>
      <c r="K1304" s="25" t="str">
        <f>IF($E1304="","",ROUND(MAX(0,$E1304-$I1304),2))</f>
        <v/>
      </c>
      <c r="L1304" s="25" t="str">
        <f>IF($E1304="","",$M1303+$F1304+$G1304)</f>
        <v/>
      </c>
      <c r="M1304" s="25" t="str">
        <f>IF($E1304="","",0)</f>
        <v/>
      </c>
      <c r="N1304" s="84" t="str">
        <f>IF($E1304="","",IF($K1304&lt;=0.005,"PAID OFF","POSTED"))</f>
        <v/>
      </c>
      <c r="O1304" s="23" t="str">
        <f t="shared" si="175"/>
        <v/>
      </c>
    </row>
    <row r="1305" spans="1:15" ht="20" customHeight="1">
      <c r="A1305" s="22" t="str">
        <f t="shared" si="172"/>
        <v/>
      </c>
      <c r="B1305" s="23" t="str">
        <f>IF($E1305="","",279)</f>
        <v/>
      </c>
      <c r="C1305" s="24" t="str">
        <f>IF($E1305="","",Inputs!$B$9+(278*Inputs!$B$21))</f>
        <v/>
      </c>
      <c r="D1305" s="23" t="str">
        <f t="shared" si="173"/>
        <v/>
      </c>
      <c r="E1305" s="25" t="str">
        <f t="shared" si="174"/>
        <v/>
      </c>
      <c r="F1305" s="25" t="str">
        <f>IF($E1305="","",ROUND(MIN(Comparison!$E$5,MAX(0,$E1305+$H1305)),2))</f>
        <v/>
      </c>
      <c r="G1305" s="25" t="str">
        <f>IF($E1305="","",ROUND(MIN(Inputs!$B$10,MAX(0,$E1305+$H1305-$F1305)),2))</f>
        <v/>
      </c>
      <c r="H1305" s="25" t="str">
        <f>IF($E1305="","",ROUND(IF(Inputs!$B$12="Daily Simple Interest",$E1305*Inputs!$B$6/Inputs!$B$17*$D1305,$E1305*Inputs!$B$6/Inputs!$B$20),2))</f>
        <v/>
      </c>
      <c r="I1305" s="25" t="str">
        <f>IF($E1305="","",0)</f>
        <v/>
      </c>
      <c r="J1305" s="25" t="str">
        <f>IF($E1305="","",IF($F1305+$G1305&gt;0,Inputs!$B$11,0))</f>
        <v/>
      </c>
      <c r="K1305" s="25" t="str">
        <f>IF($E1305="","",$E1305)</f>
        <v/>
      </c>
      <c r="L1305" s="25" t="str">
        <f>IF($E1305="","",0)</f>
        <v/>
      </c>
      <c r="M1305" s="25" t="str">
        <f>IF($E1305="","",$F1305+$G1305)</f>
        <v/>
      </c>
      <c r="N1305" s="84" t="str">
        <f>IF($E1305="","","HELD")</f>
        <v/>
      </c>
      <c r="O1305" s="23" t="str">
        <f t="shared" si="175"/>
        <v/>
      </c>
    </row>
    <row r="1306" spans="1:15" ht="20" customHeight="1">
      <c r="A1306" s="22" t="str">
        <f t="shared" si="172"/>
        <v/>
      </c>
      <c r="B1306" s="23" t="str">
        <f>IF($E1306="","",280)</f>
        <v/>
      </c>
      <c r="C1306" s="24" t="str">
        <f>IF($E1306="","",Inputs!$B$9+(279*Inputs!$B$21))</f>
        <v/>
      </c>
      <c r="D1306" s="23" t="str">
        <f t="shared" si="173"/>
        <v/>
      </c>
      <c r="E1306" s="25" t="str">
        <f t="shared" si="174"/>
        <v/>
      </c>
      <c r="F1306" s="25" t="str">
        <f>IF($E1306="","",ROUND(MIN(Comparison!$E$5,MAX(0,$E1306+$H1305+$H1306-$M1305)),2))</f>
        <v/>
      </c>
      <c r="G1306" s="25" t="str">
        <f>IF($E1306="","",ROUND(MIN(Inputs!$B$10,MAX(0,$E1306+$H1305+$H1306-$M1305-$F1306)),2))</f>
        <v/>
      </c>
      <c r="H1306" s="25" t="str">
        <f>IF($E1306="","",ROUND(IF(Inputs!$B$12="Daily Simple Interest",$E1306*Inputs!$B$6/Inputs!$B$17*$D1306,$E1306*Inputs!$B$6/Inputs!$B$20),2))</f>
        <v/>
      </c>
      <c r="I1306" s="25" t="str">
        <f>IF($E1306="","",ROUND($L1306-$H1305-$H1306,2))</f>
        <v/>
      </c>
      <c r="J1306" s="25" t="str">
        <f>IF($E1306="","",IF($F1306+$G1306&gt;0,Inputs!$B$11,0))</f>
        <v/>
      </c>
      <c r="K1306" s="25" t="str">
        <f>IF($E1306="","",ROUND(MAX(0,$E1306-$I1306),2))</f>
        <v/>
      </c>
      <c r="L1306" s="25" t="str">
        <f>IF($E1306="","",$M1305+$F1306+$G1306)</f>
        <v/>
      </c>
      <c r="M1306" s="25" t="str">
        <f>IF($E1306="","",0)</f>
        <v/>
      </c>
      <c r="N1306" s="84" t="str">
        <f>IF($E1306="","",IF($K1306&lt;=0.005,"PAID OFF","POSTED"))</f>
        <v/>
      </c>
      <c r="O1306" s="23" t="str">
        <f t="shared" si="175"/>
        <v/>
      </c>
    </row>
    <row r="1307" spans="1:15" ht="20" customHeight="1">
      <c r="A1307" s="22" t="str">
        <f t="shared" si="172"/>
        <v/>
      </c>
      <c r="B1307" s="23" t="str">
        <f>IF($E1307="","",281)</f>
        <v/>
      </c>
      <c r="C1307" s="24" t="str">
        <f>IF($E1307="","",Inputs!$B$9+(280*Inputs!$B$21))</f>
        <v/>
      </c>
      <c r="D1307" s="23" t="str">
        <f t="shared" si="173"/>
        <v/>
      </c>
      <c r="E1307" s="25" t="str">
        <f t="shared" si="174"/>
        <v/>
      </c>
      <c r="F1307" s="25" t="str">
        <f>IF($E1307="","",ROUND(MIN(Comparison!$E$5,MAX(0,$E1307+$H1307)),2))</f>
        <v/>
      </c>
      <c r="G1307" s="25" t="str">
        <f>IF($E1307="","",ROUND(MIN(Inputs!$B$10,MAX(0,$E1307+$H1307-$F1307)),2))</f>
        <v/>
      </c>
      <c r="H1307" s="25" t="str">
        <f>IF($E1307="","",ROUND(IF(Inputs!$B$12="Daily Simple Interest",$E1307*Inputs!$B$6/Inputs!$B$17*$D1307,$E1307*Inputs!$B$6/Inputs!$B$20),2))</f>
        <v/>
      </c>
      <c r="I1307" s="25" t="str">
        <f>IF($E1307="","",0)</f>
        <v/>
      </c>
      <c r="J1307" s="25" t="str">
        <f>IF($E1307="","",IF($F1307+$G1307&gt;0,Inputs!$B$11,0))</f>
        <v/>
      </c>
      <c r="K1307" s="25" t="str">
        <f>IF($E1307="","",$E1307)</f>
        <v/>
      </c>
      <c r="L1307" s="25" t="str">
        <f>IF($E1307="","",0)</f>
        <v/>
      </c>
      <c r="M1307" s="25" t="str">
        <f>IF($E1307="","",$F1307+$G1307)</f>
        <v/>
      </c>
      <c r="N1307" s="84" t="str">
        <f>IF($E1307="","","HELD")</f>
        <v/>
      </c>
      <c r="O1307" s="23" t="str">
        <f t="shared" si="175"/>
        <v/>
      </c>
    </row>
    <row r="1308" spans="1:15" ht="20" customHeight="1">
      <c r="A1308" s="22" t="str">
        <f t="shared" si="172"/>
        <v/>
      </c>
      <c r="B1308" s="23" t="str">
        <f>IF($E1308="","",282)</f>
        <v/>
      </c>
      <c r="C1308" s="24" t="str">
        <f>IF($E1308="","",Inputs!$B$9+(281*Inputs!$B$21))</f>
        <v/>
      </c>
      <c r="D1308" s="23" t="str">
        <f t="shared" si="173"/>
        <v/>
      </c>
      <c r="E1308" s="25" t="str">
        <f t="shared" si="174"/>
        <v/>
      </c>
      <c r="F1308" s="25" t="str">
        <f>IF($E1308="","",ROUND(MIN(Comparison!$E$5,MAX(0,$E1308+$H1307+$H1308-$M1307)),2))</f>
        <v/>
      </c>
      <c r="G1308" s="25" t="str">
        <f>IF($E1308="","",ROUND(MIN(Inputs!$B$10,MAX(0,$E1308+$H1307+$H1308-$M1307-$F1308)),2))</f>
        <v/>
      </c>
      <c r="H1308" s="25" t="str">
        <f>IF($E1308="","",ROUND(IF(Inputs!$B$12="Daily Simple Interest",$E1308*Inputs!$B$6/Inputs!$B$17*$D1308,$E1308*Inputs!$B$6/Inputs!$B$20),2))</f>
        <v/>
      </c>
      <c r="I1308" s="25" t="str">
        <f>IF($E1308="","",ROUND($L1308-$H1307-$H1308,2))</f>
        <v/>
      </c>
      <c r="J1308" s="25" t="str">
        <f>IF($E1308="","",IF($F1308+$G1308&gt;0,Inputs!$B$11,0))</f>
        <v/>
      </c>
      <c r="K1308" s="25" t="str">
        <f>IF($E1308="","",ROUND(MAX(0,$E1308-$I1308),2))</f>
        <v/>
      </c>
      <c r="L1308" s="25" t="str">
        <f>IF($E1308="","",$M1307+$F1308+$G1308)</f>
        <v/>
      </c>
      <c r="M1308" s="25" t="str">
        <f>IF($E1308="","",0)</f>
        <v/>
      </c>
      <c r="N1308" s="84" t="str">
        <f>IF($E1308="","",IF($K1308&lt;=0.005,"PAID OFF","POSTED"))</f>
        <v/>
      </c>
      <c r="O1308" s="23" t="str">
        <f t="shared" si="175"/>
        <v/>
      </c>
    </row>
    <row r="1309" spans="1:15" ht="20" customHeight="1">
      <c r="A1309" s="22" t="str">
        <f t="shared" si="172"/>
        <v/>
      </c>
      <c r="B1309" s="23" t="str">
        <f>IF($E1309="","",283)</f>
        <v/>
      </c>
      <c r="C1309" s="24" t="str">
        <f>IF($E1309="","",Inputs!$B$9+(282*Inputs!$B$21))</f>
        <v/>
      </c>
      <c r="D1309" s="23" t="str">
        <f t="shared" si="173"/>
        <v/>
      </c>
      <c r="E1309" s="25" t="str">
        <f t="shared" si="174"/>
        <v/>
      </c>
      <c r="F1309" s="25" t="str">
        <f>IF($E1309="","",ROUND(MIN(Comparison!$E$5,MAX(0,$E1309+$H1309)),2))</f>
        <v/>
      </c>
      <c r="G1309" s="25" t="str">
        <f>IF($E1309="","",ROUND(MIN(Inputs!$B$10,MAX(0,$E1309+$H1309-$F1309)),2))</f>
        <v/>
      </c>
      <c r="H1309" s="25" t="str">
        <f>IF($E1309="","",ROUND(IF(Inputs!$B$12="Daily Simple Interest",$E1309*Inputs!$B$6/Inputs!$B$17*$D1309,$E1309*Inputs!$B$6/Inputs!$B$20),2))</f>
        <v/>
      </c>
      <c r="I1309" s="25" t="str">
        <f>IF($E1309="","",0)</f>
        <v/>
      </c>
      <c r="J1309" s="25" t="str">
        <f>IF($E1309="","",IF($F1309+$G1309&gt;0,Inputs!$B$11,0))</f>
        <v/>
      </c>
      <c r="K1309" s="25" t="str">
        <f>IF($E1309="","",$E1309)</f>
        <v/>
      </c>
      <c r="L1309" s="25" t="str">
        <f>IF($E1309="","",0)</f>
        <v/>
      </c>
      <c r="M1309" s="25" t="str">
        <f>IF($E1309="","",$F1309+$G1309)</f>
        <v/>
      </c>
      <c r="N1309" s="84" t="str">
        <f>IF($E1309="","","HELD")</f>
        <v/>
      </c>
      <c r="O1309" s="23" t="str">
        <f t="shared" si="175"/>
        <v/>
      </c>
    </row>
    <row r="1310" spans="1:15" ht="20" customHeight="1">
      <c r="A1310" s="22" t="str">
        <f t="shared" si="172"/>
        <v/>
      </c>
      <c r="B1310" s="23" t="str">
        <f>IF($E1310="","",284)</f>
        <v/>
      </c>
      <c r="C1310" s="24" t="str">
        <f>IF($E1310="","",Inputs!$B$9+(283*Inputs!$B$21))</f>
        <v/>
      </c>
      <c r="D1310" s="23" t="str">
        <f t="shared" si="173"/>
        <v/>
      </c>
      <c r="E1310" s="25" t="str">
        <f t="shared" si="174"/>
        <v/>
      </c>
      <c r="F1310" s="25" t="str">
        <f>IF($E1310="","",ROUND(MIN(Comparison!$E$5,MAX(0,$E1310+$H1309+$H1310-$M1309)),2))</f>
        <v/>
      </c>
      <c r="G1310" s="25" t="str">
        <f>IF($E1310="","",ROUND(MIN(Inputs!$B$10,MAX(0,$E1310+$H1309+$H1310-$M1309-$F1310)),2))</f>
        <v/>
      </c>
      <c r="H1310" s="25" t="str">
        <f>IF($E1310="","",ROUND(IF(Inputs!$B$12="Daily Simple Interest",$E1310*Inputs!$B$6/Inputs!$B$17*$D1310,$E1310*Inputs!$B$6/Inputs!$B$20),2))</f>
        <v/>
      </c>
      <c r="I1310" s="25" t="str">
        <f>IF($E1310="","",ROUND($L1310-$H1309-$H1310,2))</f>
        <v/>
      </c>
      <c r="J1310" s="25" t="str">
        <f>IF($E1310="","",IF($F1310+$G1310&gt;0,Inputs!$B$11,0))</f>
        <v/>
      </c>
      <c r="K1310" s="25" t="str">
        <f>IF($E1310="","",ROUND(MAX(0,$E1310-$I1310),2))</f>
        <v/>
      </c>
      <c r="L1310" s="25" t="str">
        <f>IF($E1310="","",$M1309+$F1310+$G1310)</f>
        <v/>
      </c>
      <c r="M1310" s="25" t="str">
        <f>IF($E1310="","",0)</f>
        <v/>
      </c>
      <c r="N1310" s="84" t="str">
        <f>IF($E1310="","",IF($K1310&lt;=0.005,"PAID OFF","POSTED"))</f>
        <v/>
      </c>
      <c r="O1310" s="23" t="str">
        <f t="shared" si="175"/>
        <v/>
      </c>
    </row>
    <row r="1311" spans="1:15" ht="20" customHeight="1">
      <c r="A1311" s="22" t="str">
        <f t="shared" si="172"/>
        <v/>
      </c>
      <c r="B1311" s="23" t="str">
        <f>IF($E1311="","",285)</f>
        <v/>
      </c>
      <c r="C1311" s="24" t="str">
        <f>IF($E1311="","",Inputs!$B$9+(284*Inputs!$B$21))</f>
        <v/>
      </c>
      <c r="D1311" s="23" t="str">
        <f t="shared" si="173"/>
        <v/>
      </c>
      <c r="E1311" s="25" t="str">
        <f t="shared" si="174"/>
        <v/>
      </c>
      <c r="F1311" s="25" t="str">
        <f>IF($E1311="","",ROUND(MIN(Comparison!$E$5,MAX(0,$E1311+$H1311)),2))</f>
        <v/>
      </c>
      <c r="G1311" s="25" t="str">
        <f>IF($E1311="","",ROUND(MIN(Inputs!$B$10,MAX(0,$E1311+$H1311-$F1311)),2))</f>
        <v/>
      </c>
      <c r="H1311" s="25" t="str">
        <f>IF($E1311="","",ROUND(IF(Inputs!$B$12="Daily Simple Interest",$E1311*Inputs!$B$6/Inputs!$B$17*$D1311,$E1311*Inputs!$B$6/Inputs!$B$20),2))</f>
        <v/>
      </c>
      <c r="I1311" s="25" t="str">
        <f>IF($E1311="","",0)</f>
        <v/>
      </c>
      <c r="J1311" s="25" t="str">
        <f>IF($E1311="","",IF($F1311+$G1311&gt;0,Inputs!$B$11,0))</f>
        <v/>
      </c>
      <c r="K1311" s="25" t="str">
        <f>IF($E1311="","",$E1311)</f>
        <v/>
      </c>
      <c r="L1311" s="25" t="str">
        <f>IF($E1311="","",0)</f>
        <v/>
      </c>
      <c r="M1311" s="25" t="str">
        <f>IF($E1311="","",$F1311+$G1311)</f>
        <v/>
      </c>
      <c r="N1311" s="84" t="str">
        <f>IF($E1311="","","HELD")</f>
        <v/>
      </c>
      <c r="O1311" s="23" t="str">
        <f t="shared" si="175"/>
        <v/>
      </c>
    </row>
    <row r="1312" spans="1:15" ht="20" customHeight="1">
      <c r="A1312" s="22" t="str">
        <f t="shared" si="172"/>
        <v/>
      </c>
      <c r="B1312" s="23" t="str">
        <f>IF($E1312="","",286)</f>
        <v/>
      </c>
      <c r="C1312" s="24" t="str">
        <f>IF($E1312="","",Inputs!$B$9+(285*Inputs!$B$21))</f>
        <v/>
      </c>
      <c r="D1312" s="23" t="str">
        <f t="shared" si="173"/>
        <v/>
      </c>
      <c r="E1312" s="25" t="str">
        <f t="shared" si="174"/>
        <v/>
      </c>
      <c r="F1312" s="25" t="str">
        <f>IF($E1312="","",ROUND(MIN(Comparison!$E$5,MAX(0,$E1312+$H1311+$H1312-$M1311)),2))</f>
        <v/>
      </c>
      <c r="G1312" s="25" t="str">
        <f>IF($E1312="","",ROUND(MIN(Inputs!$B$10,MAX(0,$E1312+$H1311+$H1312-$M1311-$F1312)),2))</f>
        <v/>
      </c>
      <c r="H1312" s="25" t="str">
        <f>IF($E1312="","",ROUND(IF(Inputs!$B$12="Daily Simple Interest",$E1312*Inputs!$B$6/Inputs!$B$17*$D1312,$E1312*Inputs!$B$6/Inputs!$B$20),2))</f>
        <v/>
      </c>
      <c r="I1312" s="25" t="str">
        <f>IF($E1312="","",ROUND($L1312-$H1311-$H1312,2))</f>
        <v/>
      </c>
      <c r="J1312" s="25" t="str">
        <f>IF($E1312="","",IF($F1312+$G1312&gt;0,Inputs!$B$11,0))</f>
        <v/>
      </c>
      <c r="K1312" s="25" t="str">
        <f>IF($E1312="","",ROUND(MAX(0,$E1312-$I1312),2))</f>
        <v/>
      </c>
      <c r="L1312" s="25" t="str">
        <f>IF($E1312="","",$M1311+$F1312+$G1312)</f>
        <v/>
      </c>
      <c r="M1312" s="25" t="str">
        <f>IF($E1312="","",0)</f>
        <v/>
      </c>
      <c r="N1312" s="84" t="str">
        <f>IF($E1312="","",IF($K1312&lt;=0.005,"PAID OFF","POSTED"))</f>
        <v/>
      </c>
      <c r="O1312" s="23" t="str">
        <f t="shared" si="175"/>
        <v/>
      </c>
    </row>
    <row r="1313" spans="1:15" ht="20" customHeight="1">
      <c r="A1313" s="22" t="str">
        <f t="shared" si="172"/>
        <v/>
      </c>
      <c r="B1313" s="23" t="str">
        <f>IF($E1313="","",287)</f>
        <v/>
      </c>
      <c r="C1313" s="24" t="str">
        <f>IF($E1313="","",Inputs!$B$9+(286*Inputs!$B$21))</f>
        <v/>
      </c>
      <c r="D1313" s="23" t="str">
        <f t="shared" si="173"/>
        <v/>
      </c>
      <c r="E1313" s="25" t="str">
        <f t="shared" si="174"/>
        <v/>
      </c>
      <c r="F1313" s="25" t="str">
        <f>IF($E1313="","",ROUND(MIN(Comparison!$E$5,MAX(0,$E1313+$H1313)),2))</f>
        <v/>
      </c>
      <c r="G1313" s="25" t="str">
        <f>IF($E1313="","",ROUND(MIN(Inputs!$B$10,MAX(0,$E1313+$H1313-$F1313)),2))</f>
        <v/>
      </c>
      <c r="H1313" s="25" t="str">
        <f>IF($E1313="","",ROUND(IF(Inputs!$B$12="Daily Simple Interest",$E1313*Inputs!$B$6/Inputs!$B$17*$D1313,$E1313*Inputs!$B$6/Inputs!$B$20),2))</f>
        <v/>
      </c>
      <c r="I1313" s="25" t="str">
        <f>IF($E1313="","",0)</f>
        <v/>
      </c>
      <c r="J1313" s="25" t="str">
        <f>IF($E1313="","",IF($F1313+$G1313&gt;0,Inputs!$B$11,0))</f>
        <v/>
      </c>
      <c r="K1313" s="25" t="str">
        <f>IF($E1313="","",$E1313)</f>
        <v/>
      </c>
      <c r="L1313" s="25" t="str">
        <f>IF($E1313="","",0)</f>
        <v/>
      </c>
      <c r="M1313" s="25" t="str">
        <f>IF($E1313="","",$F1313+$G1313)</f>
        <v/>
      </c>
      <c r="N1313" s="84" t="str">
        <f>IF($E1313="","","HELD")</f>
        <v/>
      </c>
      <c r="O1313" s="23" t="str">
        <f t="shared" si="175"/>
        <v/>
      </c>
    </row>
    <row r="1314" spans="1:15" ht="20" customHeight="1">
      <c r="A1314" s="22" t="str">
        <f t="shared" si="172"/>
        <v/>
      </c>
      <c r="B1314" s="23" t="str">
        <f>IF($E1314="","",288)</f>
        <v/>
      </c>
      <c r="C1314" s="24" t="str">
        <f>IF($E1314="","",Inputs!$B$9+(287*Inputs!$B$21))</f>
        <v/>
      </c>
      <c r="D1314" s="23" t="str">
        <f t="shared" si="173"/>
        <v/>
      </c>
      <c r="E1314" s="25" t="str">
        <f t="shared" si="174"/>
        <v/>
      </c>
      <c r="F1314" s="25" t="str">
        <f>IF($E1314="","",ROUND(MIN(Comparison!$E$5,MAX(0,$E1314+$H1313+$H1314-$M1313)),2))</f>
        <v/>
      </c>
      <c r="G1314" s="25" t="str">
        <f>IF($E1314="","",ROUND(MIN(Inputs!$B$10,MAX(0,$E1314+$H1313+$H1314-$M1313-$F1314)),2))</f>
        <v/>
      </c>
      <c r="H1314" s="25" t="str">
        <f>IF($E1314="","",ROUND(IF(Inputs!$B$12="Daily Simple Interest",$E1314*Inputs!$B$6/Inputs!$B$17*$D1314,$E1314*Inputs!$B$6/Inputs!$B$20),2))</f>
        <v/>
      </c>
      <c r="I1314" s="25" t="str">
        <f>IF($E1314="","",ROUND($L1314-$H1313-$H1314,2))</f>
        <v/>
      </c>
      <c r="J1314" s="25" t="str">
        <f>IF($E1314="","",IF($F1314+$G1314&gt;0,Inputs!$B$11,0))</f>
        <v/>
      </c>
      <c r="K1314" s="25" t="str">
        <f>IF($E1314="","",ROUND(MAX(0,$E1314-$I1314),2))</f>
        <v/>
      </c>
      <c r="L1314" s="25" t="str">
        <f>IF($E1314="","",$M1313+$F1314+$G1314)</f>
        <v/>
      </c>
      <c r="M1314" s="25" t="str">
        <f>IF($E1314="","",0)</f>
        <v/>
      </c>
      <c r="N1314" s="84" t="str">
        <f>IF($E1314="","",IF($K1314&lt;=0.005,"PAID OFF","POSTED"))</f>
        <v/>
      </c>
      <c r="O1314" s="23" t="str">
        <f t="shared" si="175"/>
        <v/>
      </c>
    </row>
    <row r="1315" spans="1:15" ht="20" customHeight="1">
      <c r="A1315" s="22" t="str">
        <f t="shared" si="172"/>
        <v/>
      </c>
      <c r="B1315" s="23" t="str">
        <f>IF($E1315="","",289)</f>
        <v/>
      </c>
      <c r="C1315" s="24" t="str">
        <f>IF($E1315="","",Inputs!$B$9+(288*Inputs!$B$21))</f>
        <v/>
      </c>
      <c r="D1315" s="23" t="str">
        <f t="shared" si="173"/>
        <v/>
      </c>
      <c r="E1315" s="25" t="str">
        <f t="shared" si="174"/>
        <v/>
      </c>
      <c r="F1315" s="25" t="str">
        <f>IF($E1315="","",ROUND(MIN(Comparison!$E$5,MAX(0,$E1315+$H1315)),2))</f>
        <v/>
      </c>
      <c r="G1315" s="25" t="str">
        <f>IF($E1315="","",ROUND(MIN(Inputs!$B$10,MAX(0,$E1315+$H1315-$F1315)),2))</f>
        <v/>
      </c>
      <c r="H1315" s="25" t="str">
        <f>IF($E1315="","",ROUND(IF(Inputs!$B$12="Daily Simple Interest",$E1315*Inputs!$B$6/Inputs!$B$17*$D1315,$E1315*Inputs!$B$6/Inputs!$B$20),2))</f>
        <v/>
      </c>
      <c r="I1315" s="25" t="str">
        <f>IF($E1315="","",0)</f>
        <v/>
      </c>
      <c r="J1315" s="25" t="str">
        <f>IF($E1315="","",IF($F1315+$G1315&gt;0,Inputs!$B$11,0))</f>
        <v/>
      </c>
      <c r="K1315" s="25" t="str">
        <f>IF($E1315="","",$E1315)</f>
        <v/>
      </c>
      <c r="L1315" s="25" t="str">
        <f>IF($E1315="","",0)</f>
        <v/>
      </c>
      <c r="M1315" s="25" t="str">
        <f>IF($E1315="","",$F1315+$G1315)</f>
        <v/>
      </c>
      <c r="N1315" s="84" t="str">
        <f>IF($E1315="","","HELD")</f>
        <v/>
      </c>
      <c r="O1315" s="23" t="str">
        <f t="shared" si="175"/>
        <v/>
      </c>
    </row>
    <row r="1316" spans="1:15" ht="20" customHeight="1">
      <c r="A1316" s="22" t="str">
        <f t="shared" si="172"/>
        <v/>
      </c>
      <c r="B1316" s="23" t="str">
        <f>IF($E1316="","",290)</f>
        <v/>
      </c>
      <c r="C1316" s="24" t="str">
        <f>IF($E1316="","",Inputs!$B$9+(289*Inputs!$B$21))</f>
        <v/>
      </c>
      <c r="D1316" s="23" t="str">
        <f t="shared" si="173"/>
        <v/>
      </c>
      <c r="E1316" s="25" t="str">
        <f t="shared" si="174"/>
        <v/>
      </c>
      <c r="F1316" s="25" t="str">
        <f>IF($E1316="","",ROUND(MIN(Comparison!$E$5,MAX(0,$E1316+$H1315+$H1316-$M1315)),2))</f>
        <v/>
      </c>
      <c r="G1316" s="25" t="str">
        <f>IF($E1316="","",ROUND(MIN(Inputs!$B$10,MAX(0,$E1316+$H1315+$H1316-$M1315-$F1316)),2))</f>
        <v/>
      </c>
      <c r="H1316" s="25" t="str">
        <f>IF($E1316="","",ROUND(IF(Inputs!$B$12="Daily Simple Interest",$E1316*Inputs!$B$6/Inputs!$B$17*$D1316,$E1316*Inputs!$B$6/Inputs!$B$20),2))</f>
        <v/>
      </c>
      <c r="I1316" s="25" t="str">
        <f>IF($E1316="","",ROUND($L1316-$H1315-$H1316,2))</f>
        <v/>
      </c>
      <c r="J1316" s="25" t="str">
        <f>IF($E1316="","",IF($F1316+$G1316&gt;0,Inputs!$B$11,0))</f>
        <v/>
      </c>
      <c r="K1316" s="25" t="str">
        <f>IF($E1316="","",ROUND(MAX(0,$E1316-$I1316),2))</f>
        <v/>
      </c>
      <c r="L1316" s="25" t="str">
        <f>IF($E1316="","",$M1315+$F1316+$G1316)</f>
        <v/>
      </c>
      <c r="M1316" s="25" t="str">
        <f>IF($E1316="","",0)</f>
        <v/>
      </c>
      <c r="N1316" s="84" t="str">
        <f>IF($E1316="","",IF($K1316&lt;=0.005,"PAID OFF","POSTED"))</f>
        <v/>
      </c>
      <c r="O1316" s="23" t="str">
        <f t="shared" si="175"/>
        <v/>
      </c>
    </row>
    <row r="1317" spans="1:15" ht="20" customHeight="1">
      <c r="A1317" s="22" t="str">
        <f t="shared" si="172"/>
        <v/>
      </c>
      <c r="B1317" s="23" t="str">
        <f>IF($E1317="","",291)</f>
        <v/>
      </c>
      <c r="C1317" s="24" t="str">
        <f>IF($E1317="","",Inputs!$B$9+(290*Inputs!$B$21))</f>
        <v/>
      </c>
      <c r="D1317" s="23" t="str">
        <f t="shared" si="173"/>
        <v/>
      </c>
      <c r="E1317" s="25" t="str">
        <f t="shared" si="174"/>
        <v/>
      </c>
      <c r="F1317" s="25" t="str">
        <f>IF($E1317="","",ROUND(MIN(Comparison!$E$5,MAX(0,$E1317+$H1317)),2))</f>
        <v/>
      </c>
      <c r="G1317" s="25" t="str">
        <f>IF($E1317="","",ROUND(MIN(Inputs!$B$10,MAX(0,$E1317+$H1317-$F1317)),2))</f>
        <v/>
      </c>
      <c r="H1317" s="25" t="str">
        <f>IF($E1317="","",ROUND(IF(Inputs!$B$12="Daily Simple Interest",$E1317*Inputs!$B$6/Inputs!$B$17*$D1317,$E1317*Inputs!$B$6/Inputs!$B$20),2))</f>
        <v/>
      </c>
      <c r="I1317" s="25" t="str">
        <f>IF($E1317="","",0)</f>
        <v/>
      </c>
      <c r="J1317" s="25" t="str">
        <f>IF($E1317="","",IF($F1317+$G1317&gt;0,Inputs!$B$11,0))</f>
        <v/>
      </c>
      <c r="K1317" s="25" t="str">
        <f>IF($E1317="","",$E1317)</f>
        <v/>
      </c>
      <c r="L1317" s="25" t="str">
        <f>IF($E1317="","",0)</f>
        <v/>
      </c>
      <c r="M1317" s="25" t="str">
        <f>IF($E1317="","",$F1317+$G1317)</f>
        <v/>
      </c>
      <c r="N1317" s="84" t="str">
        <f>IF($E1317="","","HELD")</f>
        <v/>
      </c>
      <c r="O1317" s="23" t="str">
        <f t="shared" si="175"/>
        <v/>
      </c>
    </row>
    <row r="1318" spans="1:15" ht="20" customHeight="1">
      <c r="A1318" s="22" t="str">
        <f t="shared" si="172"/>
        <v/>
      </c>
      <c r="B1318" s="23" t="str">
        <f>IF($E1318="","",292)</f>
        <v/>
      </c>
      <c r="C1318" s="24" t="str">
        <f>IF($E1318="","",Inputs!$B$9+(291*Inputs!$B$21))</f>
        <v/>
      </c>
      <c r="D1318" s="23" t="str">
        <f t="shared" si="173"/>
        <v/>
      </c>
      <c r="E1318" s="25" t="str">
        <f t="shared" si="174"/>
        <v/>
      </c>
      <c r="F1318" s="25" t="str">
        <f>IF($E1318="","",ROUND(MIN(Comparison!$E$5,MAX(0,$E1318+$H1317+$H1318-$M1317)),2))</f>
        <v/>
      </c>
      <c r="G1318" s="25" t="str">
        <f>IF($E1318="","",ROUND(MIN(Inputs!$B$10,MAX(0,$E1318+$H1317+$H1318-$M1317-$F1318)),2))</f>
        <v/>
      </c>
      <c r="H1318" s="25" t="str">
        <f>IF($E1318="","",ROUND(IF(Inputs!$B$12="Daily Simple Interest",$E1318*Inputs!$B$6/Inputs!$B$17*$D1318,$E1318*Inputs!$B$6/Inputs!$B$20),2))</f>
        <v/>
      </c>
      <c r="I1318" s="25" t="str">
        <f>IF($E1318="","",ROUND($L1318-$H1317-$H1318,2))</f>
        <v/>
      </c>
      <c r="J1318" s="25" t="str">
        <f>IF($E1318="","",IF($F1318+$G1318&gt;0,Inputs!$B$11,0))</f>
        <v/>
      </c>
      <c r="K1318" s="25" t="str">
        <f>IF($E1318="","",ROUND(MAX(0,$E1318-$I1318),2))</f>
        <v/>
      </c>
      <c r="L1318" s="25" t="str">
        <f>IF($E1318="","",$M1317+$F1318+$G1318)</f>
        <v/>
      </c>
      <c r="M1318" s="25" t="str">
        <f>IF($E1318="","",0)</f>
        <v/>
      </c>
      <c r="N1318" s="84" t="str">
        <f>IF($E1318="","",IF($K1318&lt;=0.005,"PAID OFF","POSTED"))</f>
        <v/>
      </c>
      <c r="O1318" s="23" t="str">
        <f t="shared" si="175"/>
        <v/>
      </c>
    </row>
    <row r="1319" spans="1:15" ht="20" customHeight="1">
      <c r="A1319" s="22" t="str">
        <f t="shared" si="172"/>
        <v/>
      </c>
      <c r="B1319" s="23" t="str">
        <f>IF($E1319="","",293)</f>
        <v/>
      </c>
      <c r="C1319" s="24" t="str">
        <f>IF($E1319="","",Inputs!$B$9+(292*Inputs!$B$21))</f>
        <v/>
      </c>
      <c r="D1319" s="23" t="str">
        <f t="shared" si="173"/>
        <v/>
      </c>
      <c r="E1319" s="25" t="str">
        <f t="shared" si="174"/>
        <v/>
      </c>
      <c r="F1319" s="25" t="str">
        <f>IF($E1319="","",ROUND(MIN(Comparison!$E$5,MAX(0,$E1319+$H1319)),2))</f>
        <v/>
      </c>
      <c r="G1319" s="25" t="str">
        <f>IF($E1319="","",ROUND(MIN(Inputs!$B$10,MAX(0,$E1319+$H1319-$F1319)),2))</f>
        <v/>
      </c>
      <c r="H1319" s="25" t="str">
        <f>IF($E1319="","",ROUND(IF(Inputs!$B$12="Daily Simple Interest",$E1319*Inputs!$B$6/Inputs!$B$17*$D1319,$E1319*Inputs!$B$6/Inputs!$B$20),2))</f>
        <v/>
      </c>
      <c r="I1319" s="25" t="str">
        <f>IF($E1319="","",0)</f>
        <v/>
      </c>
      <c r="J1319" s="25" t="str">
        <f>IF($E1319="","",IF($F1319+$G1319&gt;0,Inputs!$B$11,0))</f>
        <v/>
      </c>
      <c r="K1319" s="25" t="str">
        <f>IF($E1319="","",$E1319)</f>
        <v/>
      </c>
      <c r="L1319" s="25" t="str">
        <f>IF($E1319="","",0)</f>
        <v/>
      </c>
      <c r="M1319" s="25" t="str">
        <f>IF($E1319="","",$F1319+$G1319)</f>
        <v/>
      </c>
      <c r="N1319" s="84" t="str">
        <f>IF($E1319="","","HELD")</f>
        <v/>
      </c>
      <c r="O1319" s="23" t="str">
        <f t="shared" si="175"/>
        <v/>
      </c>
    </row>
    <row r="1320" spans="1:15" ht="20" customHeight="1">
      <c r="A1320" s="22" t="str">
        <f t="shared" si="172"/>
        <v/>
      </c>
      <c r="B1320" s="23" t="str">
        <f>IF($E1320="","",294)</f>
        <v/>
      </c>
      <c r="C1320" s="24" t="str">
        <f>IF($E1320="","",Inputs!$B$9+(293*Inputs!$B$21))</f>
        <v/>
      </c>
      <c r="D1320" s="23" t="str">
        <f t="shared" si="173"/>
        <v/>
      </c>
      <c r="E1320" s="25" t="str">
        <f t="shared" si="174"/>
        <v/>
      </c>
      <c r="F1320" s="25" t="str">
        <f>IF($E1320="","",ROUND(MIN(Comparison!$E$5,MAX(0,$E1320+$H1319+$H1320-$M1319)),2))</f>
        <v/>
      </c>
      <c r="G1320" s="25" t="str">
        <f>IF($E1320="","",ROUND(MIN(Inputs!$B$10,MAX(0,$E1320+$H1319+$H1320-$M1319-$F1320)),2))</f>
        <v/>
      </c>
      <c r="H1320" s="25" t="str">
        <f>IF($E1320="","",ROUND(IF(Inputs!$B$12="Daily Simple Interest",$E1320*Inputs!$B$6/Inputs!$B$17*$D1320,$E1320*Inputs!$B$6/Inputs!$B$20),2))</f>
        <v/>
      </c>
      <c r="I1320" s="25" t="str">
        <f>IF($E1320="","",ROUND($L1320-$H1319-$H1320,2))</f>
        <v/>
      </c>
      <c r="J1320" s="25" t="str">
        <f>IF($E1320="","",IF($F1320+$G1320&gt;0,Inputs!$B$11,0))</f>
        <v/>
      </c>
      <c r="K1320" s="25" t="str">
        <f>IF($E1320="","",ROUND(MAX(0,$E1320-$I1320),2))</f>
        <v/>
      </c>
      <c r="L1320" s="25" t="str">
        <f>IF($E1320="","",$M1319+$F1320+$G1320)</f>
        <v/>
      </c>
      <c r="M1320" s="25" t="str">
        <f>IF($E1320="","",0)</f>
        <v/>
      </c>
      <c r="N1320" s="84" t="str">
        <f>IF($E1320="","",IF($K1320&lt;=0.005,"PAID OFF","POSTED"))</f>
        <v/>
      </c>
      <c r="O1320" s="23" t="str">
        <f t="shared" si="175"/>
        <v/>
      </c>
    </row>
    <row r="1321" spans="1:15" ht="20" customHeight="1">
      <c r="A1321" s="22" t="str">
        <f t="shared" si="172"/>
        <v/>
      </c>
      <c r="B1321" s="23" t="str">
        <f>IF($E1321="","",295)</f>
        <v/>
      </c>
      <c r="C1321" s="24" t="str">
        <f>IF($E1321="","",Inputs!$B$9+(294*Inputs!$B$21))</f>
        <v/>
      </c>
      <c r="D1321" s="23" t="str">
        <f t="shared" si="173"/>
        <v/>
      </c>
      <c r="E1321" s="25" t="str">
        <f t="shared" si="174"/>
        <v/>
      </c>
      <c r="F1321" s="25" t="str">
        <f>IF($E1321="","",ROUND(MIN(Comparison!$E$5,MAX(0,$E1321+$H1321)),2))</f>
        <v/>
      </c>
      <c r="G1321" s="25" t="str">
        <f>IF($E1321="","",ROUND(MIN(Inputs!$B$10,MAX(0,$E1321+$H1321-$F1321)),2))</f>
        <v/>
      </c>
      <c r="H1321" s="25" t="str">
        <f>IF($E1321="","",ROUND(IF(Inputs!$B$12="Daily Simple Interest",$E1321*Inputs!$B$6/Inputs!$B$17*$D1321,$E1321*Inputs!$B$6/Inputs!$B$20),2))</f>
        <v/>
      </c>
      <c r="I1321" s="25" t="str">
        <f>IF($E1321="","",0)</f>
        <v/>
      </c>
      <c r="J1321" s="25" t="str">
        <f>IF($E1321="","",IF($F1321+$G1321&gt;0,Inputs!$B$11,0))</f>
        <v/>
      </c>
      <c r="K1321" s="25" t="str">
        <f>IF($E1321="","",$E1321)</f>
        <v/>
      </c>
      <c r="L1321" s="25" t="str">
        <f>IF($E1321="","",0)</f>
        <v/>
      </c>
      <c r="M1321" s="25" t="str">
        <f>IF($E1321="","",$F1321+$G1321)</f>
        <v/>
      </c>
      <c r="N1321" s="84" t="str">
        <f>IF($E1321="","","HELD")</f>
        <v/>
      </c>
      <c r="O1321" s="23" t="str">
        <f t="shared" si="175"/>
        <v/>
      </c>
    </row>
    <row r="1322" spans="1:15" ht="20" customHeight="1">
      <c r="A1322" s="22" t="str">
        <f t="shared" si="172"/>
        <v/>
      </c>
      <c r="B1322" s="23" t="str">
        <f>IF($E1322="","",296)</f>
        <v/>
      </c>
      <c r="C1322" s="24" t="str">
        <f>IF($E1322="","",Inputs!$B$9+(295*Inputs!$B$21))</f>
        <v/>
      </c>
      <c r="D1322" s="23" t="str">
        <f t="shared" si="173"/>
        <v/>
      </c>
      <c r="E1322" s="25" t="str">
        <f t="shared" si="174"/>
        <v/>
      </c>
      <c r="F1322" s="25" t="str">
        <f>IF($E1322="","",ROUND(MIN(Comparison!$E$5,MAX(0,$E1322+$H1321+$H1322-$M1321)),2))</f>
        <v/>
      </c>
      <c r="G1322" s="25" t="str">
        <f>IF($E1322="","",ROUND(MIN(Inputs!$B$10,MAX(0,$E1322+$H1321+$H1322-$M1321-$F1322)),2))</f>
        <v/>
      </c>
      <c r="H1322" s="25" t="str">
        <f>IF($E1322="","",ROUND(IF(Inputs!$B$12="Daily Simple Interest",$E1322*Inputs!$B$6/Inputs!$B$17*$D1322,$E1322*Inputs!$B$6/Inputs!$B$20),2))</f>
        <v/>
      </c>
      <c r="I1322" s="25" t="str">
        <f>IF($E1322="","",ROUND($L1322-$H1321-$H1322,2))</f>
        <v/>
      </c>
      <c r="J1322" s="25" t="str">
        <f>IF($E1322="","",IF($F1322+$G1322&gt;0,Inputs!$B$11,0))</f>
        <v/>
      </c>
      <c r="K1322" s="25" t="str">
        <f>IF($E1322="","",ROUND(MAX(0,$E1322-$I1322),2))</f>
        <v/>
      </c>
      <c r="L1322" s="25" t="str">
        <f>IF($E1322="","",$M1321+$F1322+$G1322)</f>
        <v/>
      </c>
      <c r="M1322" s="25" t="str">
        <f>IF($E1322="","",0)</f>
        <v/>
      </c>
      <c r="N1322" s="84" t="str">
        <f>IF($E1322="","",IF($K1322&lt;=0.005,"PAID OFF","POSTED"))</f>
        <v/>
      </c>
      <c r="O1322" s="23" t="str">
        <f t="shared" si="175"/>
        <v/>
      </c>
    </row>
    <row r="1323" spans="1:15" ht="20" customHeight="1">
      <c r="A1323" s="22" t="str">
        <f t="shared" si="172"/>
        <v/>
      </c>
      <c r="B1323" s="23" t="str">
        <f>IF($E1323="","",297)</f>
        <v/>
      </c>
      <c r="C1323" s="24" t="str">
        <f>IF($E1323="","",Inputs!$B$9+(296*Inputs!$B$21))</f>
        <v/>
      </c>
      <c r="D1323" s="23" t="str">
        <f t="shared" si="173"/>
        <v/>
      </c>
      <c r="E1323" s="25" t="str">
        <f t="shared" si="174"/>
        <v/>
      </c>
      <c r="F1323" s="25" t="str">
        <f>IF($E1323="","",ROUND(MIN(Comparison!$E$5,MAX(0,$E1323+$H1323)),2))</f>
        <v/>
      </c>
      <c r="G1323" s="25" t="str">
        <f>IF($E1323="","",ROUND(MIN(Inputs!$B$10,MAX(0,$E1323+$H1323-$F1323)),2))</f>
        <v/>
      </c>
      <c r="H1323" s="25" t="str">
        <f>IF($E1323="","",ROUND(IF(Inputs!$B$12="Daily Simple Interest",$E1323*Inputs!$B$6/Inputs!$B$17*$D1323,$E1323*Inputs!$B$6/Inputs!$B$20),2))</f>
        <v/>
      </c>
      <c r="I1323" s="25" t="str">
        <f>IF($E1323="","",0)</f>
        <v/>
      </c>
      <c r="J1323" s="25" t="str">
        <f>IF($E1323="","",IF($F1323+$G1323&gt;0,Inputs!$B$11,0))</f>
        <v/>
      </c>
      <c r="K1323" s="25" t="str">
        <f>IF($E1323="","",$E1323)</f>
        <v/>
      </c>
      <c r="L1323" s="25" t="str">
        <f>IF($E1323="","",0)</f>
        <v/>
      </c>
      <c r="M1323" s="25" t="str">
        <f>IF($E1323="","",$F1323+$G1323)</f>
        <v/>
      </c>
      <c r="N1323" s="84" t="str">
        <f>IF($E1323="","","HELD")</f>
        <v/>
      </c>
      <c r="O1323" s="23" t="str">
        <f t="shared" si="175"/>
        <v/>
      </c>
    </row>
    <row r="1324" spans="1:15" ht="20" customHeight="1">
      <c r="A1324" s="22" t="str">
        <f t="shared" si="172"/>
        <v/>
      </c>
      <c r="B1324" s="23" t="str">
        <f>IF($E1324="","",298)</f>
        <v/>
      </c>
      <c r="C1324" s="24" t="str">
        <f>IF($E1324="","",Inputs!$B$9+(297*Inputs!$B$21))</f>
        <v/>
      </c>
      <c r="D1324" s="23" t="str">
        <f t="shared" si="173"/>
        <v/>
      </c>
      <c r="E1324" s="25" t="str">
        <f t="shared" si="174"/>
        <v/>
      </c>
      <c r="F1324" s="25" t="str">
        <f>IF($E1324="","",ROUND(MIN(Comparison!$E$5,MAX(0,$E1324+$H1323+$H1324-$M1323)),2))</f>
        <v/>
      </c>
      <c r="G1324" s="25" t="str">
        <f>IF($E1324="","",ROUND(MIN(Inputs!$B$10,MAX(0,$E1324+$H1323+$H1324-$M1323-$F1324)),2))</f>
        <v/>
      </c>
      <c r="H1324" s="25" t="str">
        <f>IF($E1324="","",ROUND(IF(Inputs!$B$12="Daily Simple Interest",$E1324*Inputs!$B$6/Inputs!$B$17*$D1324,$E1324*Inputs!$B$6/Inputs!$B$20),2))</f>
        <v/>
      </c>
      <c r="I1324" s="25" t="str">
        <f>IF($E1324="","",ROUND($L1324-$H1323-$H1324,2))</f>
        <v/>
      </c>
      <c r="J1324" s="25" t="str">
        <f>IF($E1324="","",IF($F1324+$G1324&gt;0,Inputs!$B$11,0))</f>
        <v/>
      </c>
      <c r="K1324" s="25" t="str">
        <f>IF($E1324="","",ROUND(MAX(0,$E1324-$I1324),2))</f>
        <v/>
      </c>
      <c r="L1324" s="25" t="str">
        <f>IF($E1324="","",$M1323+$F1324+$G1324)</f>
        <v/>
      </c>
      <c r="M1324" s="25" t="str">
        <f>IF($E1324="","",0)</f>
        <v/>
      </c>
      <c r="N1324" s="84" t="str">
        <f>IF($E1324="","",IF($K1324&lt;=0.005,"PAID OFF","POSTED"))</f>
        <v/>
      </c>
      <c r="O1324" s="23" t="str">
        <f t="shared" si="175"/>
        <v/>
      </c>
    </row>
    <row r="1325" spans="1:15" ht="20" customHeight="1">
      <c r="A1325" s="22" t="str">
        <f t="shared" si="172"/>
        <v/>
      </c>
      <c r="B1325" s="23" t="str">
        <f>IF($E1325="","",299)</f>
        <v/>
      </c>
      <c r="C1325" s="24" t="str">
        <f>IF($E1325="","",Inputs!$B$9+(298*Inputs!$B$21))</f>
        <v/>
      </c>
      <c r="D1325" s="23" t="str">
        <f t="shared" si="173"/>
        <v/>
      </c>
      <c r="E1325" s="25" t="str">
        <f t="shared" si="174"/>
        <v/>
      </c>
      <c r="F1325" s="25" t="str">
        <f>IF($E1325="","",ROUND(MIN(Comparison!$E$5,MAX(0,$E1325+$H1325)),2))</f>
        <v/>
      </c>
      <c r="G1325" s="25" t="str">
        <f>IF($E1325="","",ROUND(MIN(Inputs!$B$10,MAX(0,$E1325+$H1325-$F1325)),2))</f>
        <v/>
      </c>
      <c r="H1325" s="25" t="str">
        <f>IF($E1325="","",ROUND(IF(Inputs!$B$12="Daily Simple Interest",$E1325*Inputs!$B$6/Inputs!$B$17*$D1325,$E1325*Inputs!$B$6/Inputs!$B$20),2))</f>
        <v/>
      </c>
      <c r="I1325" s="25" t="str">
        <f>IF($E1325="","",0)</f>
        <v/>
      </c>
      <c r="J1325" s="25" t="str">
        <f>IF($E1325="","",IF($F1325+$G1325&gt;0,Inputs!$B$11,0))</f>
        <v/>
      </c>
      <c r="K1325" s="25" t="str">
        <f>IF($E1325="","",$E1325)</f>
        <v/>
      </c>
      <c r="L1325" s="25" t="str">
        <f>IF($E1325="","",0)</f>
        <v/>
      </c>
      <c r="M1325" s="25" t="str">
        <f>IF($E1325="","",$F1325+$G1325)</f>
        <v/>
      </c>
      <c r="N1325" s="84" t="str">
        <f>IF($E1325="","","HELD")</f>
        <v/>
      </c>
      <c r="O1325" s="23" t="str">
        <f t="shared" si="175"/>
        <v/>
      </c>
    </row>
    <row r="1326" spans="1:15" ht="20" customHeight="1">
      <c r="A1326" s="22" t="str">
        <f t="shared" si="172"/>
        <v/>
      </c>
      <c r="B1326" s="23" t="str">
        <f>IF($E1326="","",300)</f>
        <v/>
      </c>
      <c r="C1326" s="24" t="str">
        <f>IF($E1326="","",Inputs!$B$9+(299*Inputs!$B$21))</f>
        <v/>
      </c>
      <c r="D1326" s="23" t="str">
        <f t="shared" si="173"/>
        <v/>
      </c>
      <c r="E1326" s="25" t="str">
        <f t="shared" si="174"/>
        <v/>
      </c>
      <c r="F1326" s="25" t="str">
        <f>IF($E1326="","",ROUND(MIN(Comparison!$E$5,MAX(0,$E1326+$H1325+$H1326-$M1325)),2))</f>
        <v/>
      </c>
      <c r="G1326" s="25" t="str">
        <f>IF($E1326="","",ROUND(MIN(Inputs!$B$10,MAX(0,$E1326+$H1325+$H1326-$M1325-$F1326)),2))</f>
        <v/>
      </c>
      <c r="H1326" s="25" t="str">
        <f>IF($E1326="","",ROUND(IF(Inputs!$B$12="Daily Simple Interest",$E1326*Inputs!$B$6/Inputs!$B$17*$D1326,$E1326*Inputs!$B$6/Inputs!$B$20),2))</f>
        <v/>
      </c>
      <c r="I1326" s="25" t="str">
        <f>IF($E1326="","",ROUND($L1326-$H1325-$H1326,2))</f>
        <v/>
      </c>
      <c r="J1326" s="25" t="str">
        <f>IF($E1326="","",IF($F1326+$G1326&gt;0,Inputs!$B$11,0))</f>
        <v/>
      </c>
      <c r="K1326" s="25" t="str">
        <f>IF($E1326="","",ROUND(MAX(0,$E1326-$I1326),2))</f>
        <v/>
      </c>
      <c r="L1326" s="25" t="str">
        <f>IF($E1326="","",$M1325+$F1326+$G1326)</f>
        <v/>
      </c>
      <c r="M1326" s="25" t="str">
        <f>IF($E1326="","",0)</f>
        <v/>
      </c>
      <c r="N1326" s="84" t="str">
        <f>IF($E1326="","",IF($K1326&lt;=0.005,"PAID OFF","POSTED"))</f>
        <v/>
      </c>
      <c r="O1326" s="23" t="str">
        <f t="shared" si="175"/>
        <v/>
      </c>
    </row>
    <row r="1327" spans="1:15" ht="20" customHeight="1">
      <c r="A1327" s="22" t="str">
        <f t="shared" si="172"/>
        <v/>
      </c>
      <c r="B1327" s="23" t="str">
        <f>IF($E1327="","",301)</f>
        <v/>
      </c>
      <c r="C1327" s="24" t="str">
        <f>IF($E1327="","",Inputs!$B$9+(300*Inputs!$B$21))</f>
        <v/>
      </c>
      <c r="D1327" s="23" t="str">
        <f t="shared" si="173"/>
        <v/>
      </c>
      <c r="E1327" s="25" t="str">
        <f t="shared" si="174"/>
        <v/>
      </c>
      <c r="F1327" s="25" t="str">
        <f>IF($E1327="","",ROUND(MIN(Comparison!$E$5,MAX(0,$E1327+$H1327)),2))</f>
        <v/>
      </c>
      <c r="G1327" s="25" t="str">
        <f>IF($E1327="","",ROUND(MIN(Inputs!$B$10,MAX(0,$E1327+$H1327-$F1327)),2))</f>
        <v/>
      </c>
      <c r="H1327" s="25" t="str">
        <f>IF($E1327="","",ROUND(IF(Inputs!$B$12="Daily Simple Interest",$E1327*Inputs!$B$6/Inputs!$B$17*$D1327,$E1327*Inputs!$B$6/Inputs!$B$20),2))</f>
        <v/>
      </c>
      <c r="I1327" s="25" t="str">
        <f>IF($E1327="","",0)</f>
        <v/>
      </c>
      <c r="J1327" s="25" t="str">
        <f>IF($E1327="","",IF($F1327+$G1327&gt;0,Inputs!$B$11,0))</f>
        <v/>
      </c>
      <c r="K1327" s="25" t="str">
        <f>IF($E1327="","",$E1327)</f>
        <v/>
      </c>
      <c r="L1327" s="25" t="str">
        <f>IF($E1327="","",0)</f>
        <v/>
      </c>
      <c r="M1327" s="25" t="str">
        <f>IF($E1327="","",$F1327+$G1327)</f>
        <v/>
      </c>
      <c r="N1327" s="84" t="str">
        <f>IF($E1327="","","HELD")</f>
        <v/>
      </c>
      <c r="O1327" s="23" t="str">
        <f t="shared" si="175"/>
        <v/>
      </c>
    </row>
    <row r="1328" spans="1:15" ht="20" customHeight="1">
      <c r="A1328" s="22" t="str">
        <f t="shared" si="172"/>
        <v/>
      </c>
      <c r="B1328" s="23" t="str">
        <f>IF($E1328="","",302)</f>
        <v/>
      </c>
      <c r="C1328" s="24" t="str">
        <f>IF($E1328="","",Inputs!$B$9+(301*Inputs!$B$21))</f>
        <v/>
      </c>
      <c r="D1328" s="23" t="str">
        <f t="shared" si="173"/>
        <v/>
      </c>
      <c r="E1328" s="25" t="str">
        <f t="shared" si="174"/>
        <v/>
      </c>
      <c r="F1328" s="25" t="str">
        <f>IF($E1328="","",ROUND(MIN(Comparison!$E$5,MAX(0,$E1328+$H1327+$H1328-$M1327)),2))</f>
        <v/>
      </c>
      <c r="G1328" s="25" t="str">
        <f>IF($E1328="","",ROUND(MIN(Inputs!$B$10,MAX(0,$E1328+$H1327+$H1328-$M1327-$F1328)),2))</f>
        <v/>
      </c>
      <c r="H1328" s="25" t="str">
        <f>IF($E1328="","",ROUND(IF(Inputs!$B$12="Daily Simple Interest",$E1328*Inputs!$B$6/Inputs!$B$17*$D1328,$E1328*Inputs!$B$6/Inputs!$B$20),2))</f>
        <v/>
      </c>
      <c r="I1328" s="25" t="str">
        <f>IF($E1328="","",ROUND($L1328-$H1327-$H1328,2))</f>
        <v/>
      </c>
      <c r="J1328" s="25" t="str">
        <f>IF($E1328="","",IF($F1328+$G1328&gt;0,Inputs!$B$11,0))</f>
        <v/>
      </c>
      <c r="K1328" s="25" t="str">
        <f>IF($E1328="","",ROUND(MAX(0,$E1328-$I1328),2))</f>
        <v/>
      </c>
      <c r="L1328" s="25" t="str">
        <f>IF($E1328="","",$M1327+$F1328+$G1328)</f>
        <v/>
      </c>
      <c r="M1328" s="25" t="str">
        <f>IF($E1328="","",0)</f>
        <v/>
      </c>
      <c r="N1328" s="84" t="str">
        <f>IF($E1328="","",IF($K1328&lt;=0.005,"PAID OFF","POSTED"))</f>
        <v/>
      </c>
      <c r="O1328" s="23" t="str">
        <f t="shared" si="175"/>
        <v/>
      </c>
    </row>
    <row r="1329" spans="1:15" ht="20" customHeight="1">
      <c r="A1329" s="22" t="str">
        <f t="shared" si="172"/>
        <v/>
      </c>
      <c r="B1329" s="23" t="str">
        <f>IF($E1329="","",303)</f>
        <v/>
      </c>
      <c r="C1329" s="24" t="str">
        <f>IF($E1329="","",Inputs!$B$9+(302*Inputs!$B$21))</f>
        <v/>
      </c>
      <c r="D1329" s="23" t="str">
        <f t="shared" si="173"/>
        <v/>
      </c>
      <c r="E1329" s="25" t="str">
        <f t="shared" si="174"/>
        <v/>
      </c>
      <c r="F1329" s="25" t="str">
        <f>IF($E1329="","",ROUND(MIN(Comparison!$E$5,MAX(0,$E1329+$H1329)),2))</f>
        <v/>
      </c>
      <c r="G1329" s="25" t="str">
        <f>IF($E1329="","",ROUND(MIN(Inputs!$B$10,MAX(0,$E1329+$H1329-$F1329)),2))</f>
        <v/>
      </c>
      <c r="H1329" s="25" t="str">
        <f>IF($E1329="","",ROUND(IF(Inputs!$B$12="Daily Simple Interest",$E1329*Inputs!$B$6/Inputs!$B$17*$D1329,$E1329*Inputs!$B$6/Inputs!$B$20),2))</f>
        <v/>
      </c>
      <c r="I1329" s="25" t="str">
        <f>IF($E1329="","",0)</f>
        <v/>
      </c>
      <c r="J1329" s="25" t="str">
        <f>IF($E1329="","",IF($F1329+$G1329&gt;0,Inputs!$B$11,0))</f>
        <v/>
      </c>
      <c r="K1329" s="25" t="str">
        <f>IF($E1329="","",$E1329)</f>
        <v/>
      </c>
      <c r="L1329" s="25" t="str">
        <f>IF($E1329="","",0)</f>
        <v/>
      </c>
      <c r="M1329" s="25" t="str">
        <f>IF($E1329="","",$F1329+$G1329)</f>
        <v/>
      </c>
      <c r="N1329" s="84" t="str">
        <f>IF($E1329="","","HELD")</f>
        <v/>
      </c>
      <c r="O1329" s="23" t="str">
        <f t="shared" si="175"/>
        <v/>
      </c>
    </row>
    <row r="1330" spans="1:15" ht="20" customHeight="1">
      <c r="A1330" s="22" t="str">
        <f t="shared" si="172"/>
        <v/>
      </c>
      <c r="B1330" s="23" t="str">
        <f>IF($E1330="","",304)</f>
        <v/>
      </c>
      <c r="C1330" s="24" t="str">
        <f>IF($E1330="","",Inputs!$B$9+(303*Inputs!$B$21))</f>
        <v/>
      </c>
      <c r="D1330" s="23" t="str">
        <f t="shared" si="173"/>
        <v/>
      </c>
      <c r="E1330" s="25" t="str">
        <f t="shared" si="174"/>
        <v/>
      </c>
      <c r="F1330" s="25" t="str">
        <f>IF($E1330="","",ROUND(MIN(Comparison!$E$5,MAX(0,$E1330+$H1329+$H1330-$M1329)),2))</f>
        <v/>
      </c>
      <c r="G1330" s="25" t="str">
        <f>IF($E1330="","",ROUND(MIN(Inputs!$B$10,MAX(0,$E1330+$H1329+$H1330-$M1329-$F1330)),2))</f>
        <v/>
      </c>
      <c r="H1330" s="25" t="str">
        <f>IF($E1330="","",ROUND(IF(Inputs!$B$12="Daily Simple Interest",$E1330*Inputs!$B$6/Inputs!$B$17*$D1330,$E1330*Inputs!$B$6/Inputs!$B$20),2))</f>
        <v/>
      </c>
      <c r="I1330" s="25" t="str">
        <f>IF($E1330="","",ROUND($L1330-$H1329-$H1330,2))</f>
        <v/>
      </c>
      <c r="J1330" s="25" t="str">
        <f>IF($E1330="","",IF($F1330+$G1330&gt;0,Inputs!$B$11,0))</f>
        <v/>
      </c>
      <c r="K1330" s="25" t="str">
        <f>IF($E1330="","",ROUND(MAX(0,$E1330-$I1330),2))</f>
        <v/>
      </c>
      <c r="L1330" s="25" t="str">
        <f>IF($E1330="","",$M1329+$F1330+$G1330)</f>
        <v/>
      </c>
      <c r="M1330" s="25" t="str">
        <f>IF($E1330="","",0)</f>
        <v/>
      </c>
      <c r="N1330" s="84" t="str">
        <f>IF($E1330="","",IF($K1330&lt;=0.005,"PAID OFF","POSTED"))</f>
        <v/>
      </c>
      <c r="O1330" s="23" t="str">
        <f t="shared" si="175"/>
        <v/>
      </c>
    </row>
    <row r="1331" spans="1:15" ht="20" customHeight="1">
      <c r="A1331" s="22" t="str">
        <f t="shared" si="172"/>
        <v/>
      </c>
      <c r="B1331" s="23" t="str">
        <f>IF($E1331="","",305)</f>
        <v/>
      </c>
      <c r="C1331" s="24" t="str">
        <f>IF($E1331="","",Inputs!$B$9+(304*Inputs!$B$21))</f>
        <v/>
      </c>
      <c r="D1331" s="23" t="str">
        <f t="shared" si="173"/>
        <v/>
      </c>
      <c r="E1331" s="25" t="str">
        <f t="shared" si="174"/>
        <v/>
      </c>
      <c r="F1331" s="25" t="str">
        <f>IF($E1331="","",ROUND(MIN(Comparison!$E$5,MAX(0,$E1331+$H1331)),2))</f>
        <v/>
      </c>
      <c r="G1331" s="25" t="str">
        <f>IF($E1331="","",ROUND(MIN(Inputs!$B$10,MAX(0,$E1331+$H1331-$F1331)),2))</f>
        <v/>
      </c>
      <c r="H1331" s="25" t="str">
        <f>IF($E1331="","",ROUND(IF(Inputs!$B$12="Daily Simple Interest",$E1331*Inputs!$B$6/Inputs!$B$17*$D1331,$E1331*Inputs!$B$6/Inputs!$B$20),2))</f>
        <v/>
      </c>
      <c r="I1331" s="25" t="str">
        <f>IF($E1331="","",0)</f>
        <v/>
      </c>
      <c r="J1331" s="25" t="str">
        <f>IF($E1331="","",IF($F1331+$G1331&gt;0,Inputs!$B$11,0))</f>
        <v/>
      </c>
      <c r="K1331" s="25" t="str">
        <f>IF($E1331="","",$E1331)</f>
        <v/>
      </c>
      <c r="L1331" s="25" t="str">
        <f>IF($E1331="","",0)</f>
        <v/>
      </c>
      <c r="M1331" s="25" t="str">
        <f>IF($E1331="","",$F1331+$G1331)</f>
        <v/>
      </c>
      <c r="N1331" s="84" t="str">
        <f>IF($E1331="","","HELD")</f>
        <v/>
      </c>
      <c r="O1331" s="23" t="str">
        <f t="shared" si="175"/>
        <v/>
      </c>
    </row>
    <row r="1332" spans="1:15" ht="20" customHeight="1">
      <c r="A1332" s="22" t="str">
        <f t="shared" si="172"/>
        <v/>
      </c>
      <c r="B1332" s="23" t="str">
        <f>IF($E1332="","",306)</f>
        <v/>
      </c>
      <c r="C1332" s="24" t="str">
        <f>IF($E1332="","",Inputs!$B$9+(305*Inputs!$B$21))</f>
        <v/>
      </c>
      <c r="D1332" s="23" t="str">
        <f t="shared" si="173"/>
        <v/>
      </c>
      <c r="E1332" s="25" t="str">
        <f t="shared" si="174"/>
        <v/>
      </c>
      <c r="F1332" s="25" t="str">
        <f>IF($E1332="","",ROUND(MIN(Comparison!$E$5,MAX(0,$E1332+$H1331+$H1332-$M1331)),2))</f>
        <v/>
      </c>
      <c r="G1332" s="25" t="str">
        <f>IF($E1332="","",ROUND(MIN(Inputs!$B$10,MAX(0,$E1332+$H1331+$H1332-$M1331-$F1332)),2))</f>
        <v/>
      </c>
      <c r="H1332" s="25" t="str">
        <f>IF($E1332="","",ROUND(IF(Inputs!$B$12="Daily Simple Interest",$E1332*Inputs!$B$6/Inputs!$B$17*$D1332,$E1332*Inputs!$B$6/Inputs!$B$20),2))</f>
        <v/>
      </c>
      <c r="I1332" s="25" t="str">
        <f>IF($E1332="","",ROUND($L1332-$H1331-$H1332,2))</f>
        <v/>
      </c>
      <c r="J1332" s="25" t="str">
        <f>IF($E1332="","",IF($F1332+$G1332&gt;0,Inputs!$B$11,0))</f>
        <v/>
      </c>
      <c r="K1332" s="25" t="str">
        <f>IF($E1332="","",ROUND(MAX(0,$E1332-$I1332),2))</f>
        <v/>
      </c>
      <c r="L1332" s="25" t="str">
        <f>IF($E1332="","",$M1331+$F1332+$G1332)</f>
        <v/>
      </c>
      <c r="M1332" s="25" t="str">
        <f>IF($E1332="","",0)</f>
        <v/>
      </c>
      <c r="N1332" s="84" t="str">
        <f>IF($E1332="","",IF($K1332&lt;=0.005,"PAID OFF","POSTED"))</f>
        <v/>
      </c>
      <c r="O1332" s="23" t="str">
        <f t="shared" si="175"/>
        <v/>
      </c>
    </row>
    <row r="1333" spans="1:15" ht="20" customHeight="1">
      <c r="A1333" s="22" t="str">
        <f t="shared" si="172"/>
        <v/>
      </c>
      <c r="B1333" s="23" t="str">
        <f>IF($E1333="","",307)</f>
        <v/>
      </c>
      <c r="C1333" s="24" t="str">
        <f>IF($E1333="","",Inputs!$B$9+(306*Inputs!$B$21))</f>
        <v/>
      </c>
      <c r="D1333" s="23" t="str">
        <f t="shared" si="173"/>
        <v/>
      </c>
      <c r="E1333" s="25" t="str">
        <f t="shared" si="174"/>
        <v/>
      </c>
      <c r="F1333" s="25" t="str">
        <f>IF($E1333="","",ROUND(MIN(Comparison!$E$5,MAX(0,$E1333+$H1333)),2))</f>
        <v/>
      </c>
      <c r="G1333" s="25" t="str">
        <f>IF($E1333="","",ROUND(MIN(Inputs!$B$10,MAX(0,$E1333+$H1333-$F1333)),2))</f>
        <v/>
      </c>
      <c r="H1333" s="25" t="str">
        <f>IF($E1333="","",ROUND(IF(Inputs!$B$12="Daily Simple Interest",$E1333*Inputs!$B$6/Inputs!$B$17*$D1333,$E1333*Inputs!$B$6/Inputs!$B$20),2))</f>
        <v/>
      </c>
      <c r="I1333" s="25" t="str">
        <f>IF($E1333="","",0)</f>
        <v/>
      </c>
      <c r="J1333" s="25" t="str">
        <f>IF($E1333="","",IF($F1333+$G1333&gt;0,Inputs!$B$11,0))</f>
        <v/>
      </c>
      <c r="K1333" s="25" t="str">
        <f>IF($E1333="","",$E1333)</f>
        <v/>
      </c>
      <c r="L1333" s="25" t="str">
        <f>IF($E1333="","",0)</f>
        <v/>
      </c>
      <c r="M1333" s="25" t="str">
        <f>IF($E1333="","",$F1333+$G1333)</f>
        <v/>
      </c>
      <c r="N1333" s="84" t="str">
        <f>IF($E1333="","","HELD")</f>
        <v/>
      </c>
      <c r="O1333" s="23" t="str">
        <f t="shared" si="175"/>
        <v/>
      </c>
    </row>
    <row r="1334" spans="1:15" ht="20" customHeight="1">
      <c r="A1334" s="22" t="str">
        <f t="shared" si="172"/>
        <v/>
      </c>
      <c r="B1334" s="23" t="str">
        <f>IF($E1334="","",308)</f>
        <v/>
      </c>
      <c r="C1334" s="24" t="str">
        <f>IF($E1334="","",Inputs!$B$9+(307*Inputs!$B$21))</f>
        <v/>
      </c>
      <c r="D1334" s="23" t="str">
        <f t="shared" si="173"/>
        <v/>
      </c>
      <c r="E1334" s="25" t="str">
        <f t="shared" si="174"/>
        <v/>
      </c>
      <c r="F1334" s="25" t="str">
        <f>IF($E1334="","",ROUND(MIN(Comparison!$E$5,MAX(0,$E1334+$H1333+$H1334-$M1333)),2))</f>
        <v/>
      </c>
      <c r="G1334" s="25" t="str">
        <f>IF($E1334="","",ROUND(MIN(Inputs!$B$10,MAX(0,$E1334+$H1333+$H1334-$M1333-$F1334)),2))</f>
        <v/>
      </c>
      <c r="H1334" s="25" t="str">
        <f>IF($E1334="","",ROUND(IF(Inputs!$B$12="Daily Simple Interest",$E1334*Inputs!$B$6/Inputs!$B$17*$D1334,$E1334*Inputs!$B$6/Inputs!$B$20),2))</f>
        <v/>
      </c>
      <c r="I1334" s="25" t="str">
        <f>IF($E1334="","",ROUND($L1334-$H1333-$H1334,2))</f>
        <v/>
      </c>
      <c r="J1334" s="25" t="str">
        <f>IF($E1334="","",IF($F1334+$G1334&gt;0,Inputs!$B$11,0))</f>
        <v/>
      </c>
      <c r="K1334" s="25" t="str">
        <f>IF($E1334="","",ROUND(MAX(0,$E1334-$I1334),2))</f>
        <v/>
      </c>
      <c r="L1334" s="25" t="str">
        <f>IF($E1334="","",$M1333+$F1334+$G1334)</f>
        <v/>
      </c>
      <c r="M1334" s="25" t="str">
        <f>IF($E1334="","",0)</f>
        <v/>
      </c>
      <c r="N1334" s="84" t="str">
        <f>IF($E1334="","",IF($K1334&lt;=0.005,"PAID OFF","POSTED"))</f>
        <v/>
      </c>
      <c r="O1334" s="23" t="str">
        <f t="shared" si="175"/>
        <v/>
      </c>
    </row>
    <row r="1335" spans="1:15" ht="20" customHeight="1">
      <c r="A1335" s="22" t="str">
        <f t="shared" si="172"/>
        <v/>
      </c>
      <c r="B1335" s="23" t="str">
        <f>IF($E1335="","",309)</f>
        <v/>
      </c>
      <c r="C1335" s="24" t="str">
        <f>IF($E1335="","",Inputs!$B$9+(308*Inputs!$B$21))</f>
        <v/>
      </c>
      <c r="D1335" s="23" t="str">
        <f t="shared" si="173"/>
        <v/>
      </c>
      <c r="E1335" s="25" t="str">
        <f t="shared" si="174"/>
        <v/>
      </c>
      <c r="F1335" s="25" t="str">
        <f>IF($E1335="","",ROUND(MIN(Comparison!$E$5,MAX(0,$E1335+$H1335)),2))</f>
        <v/>
      </c>
      <c r="G1335" s="25" t="str">
        <f>IF($E1335="","",ROUND(MIN(Inputs!$B$10,MAX(0,$E1335+$H1335-$F1335)),2))</f>
        <v/>
      </c>
      <c r="H1335" s="25" t="str">
        <f>IF($E1335="","",ROUND(IF(Inputs!$B$12="Daily Simple Interest",$E1335*Inputs!$B$6/Inputs!$B$17*$D1335,$E1335*Inputs!$B$6/Inputs!$B$20),2))</f>
        <v/>
      </c>
      <c r="I1335" s="25" t="str">
        <f>IF($E1335="","",0)</f>
        <v/>
      </c>
      <c r="J1335" s="25" t="str">
        <f>IF($E1335="","",IF($F1335+$G1335&gt;0,Inputs!$B$11,0))</f>
        <v/>
      </c>
      <c r="K1335" s="25" t="str">
        <f>IF($E1335="","",$E1335)</f>
        <v/>
      </c>
      <c r="L1335" s="25" t="str">
        <f>IF($E1335="","",0)</f>
        <v/>
      </c>
      <c r="M1335" s="25" t="str">
        <f>IF($E1335="","",$F1335+$G1335)</f>
        <v/>
      </c>
      <c r="N1335" s="84" t="str">
        <f>IF($E1335="","","HELD")</f>
        <v/>
      </c>
      <c r="O1335" s="23" t="str">
        <f t="shared" si="175"/>
        <v/>
      </c>
    </row>
    <row r="1336" spans="1:15" ht="20" customHeight="1">
      <c r="A1336" s="22" t="str">
        <f t="shared" si="172"/>
        <v/>
      </c>
      <c r="B1336" s="23" t="str">
        <f>IF($E1336="","",310)</f>
        <v/>
      </c>
      <c r="C1336" s="24" t="str">
        <f>IF($E1336="","",Inputs!$B$9+(309*Inputs!$B$21))</f>
        <v/>
      </c>
      <c r="D1336" s="23" t="str">
        <f t="shared" si="173"/>
        <v/>
      </c>
      <c r="E1336" s="25" t="str">
        <f t="shared" si="174"/>
        <v/>
      </c>
      <c r="F1336" s="25" t="str">
        <f>IF($E1336="","",ROUND(MIN(Comparison!$E$5,MAX(0,$E1336+$H1335+$H1336-$M1335)),2))</f>
        <v/>
      </c>
      <c r="G1336" s="25" t="str">
        <f>IF($E1336="","",ROUND(MIN(Inputs!$B$10,MAX(0,$E1336+$H1335+$H1336-$M1335-$F1336)),2))</f>
        <v/>
      </c>
      <c r="H1336" s="25" t="str">
        <f>IF($E1336="","",ROUND(IF(Inputs!$B$12="Daily Simple Interest",$E1336*Inputs!$B$6/Inputs!$B$17*$D1336,$E1336*Inputs!$B$6/Inputs!$B$20),2))</f>
        <v/>
      </c>
      <c r="I1336" s="25" t="str">
        <f>IF($E1336="","",ROUND($L1336-$H1335-$H1336,2))</f>
        <v/>
      </c>
      <c r="J1336" s="25" t="str">
        <f>IF($E1336="","",IF($F1336+$G1336&gt;0,Inputs!$B$11,0))</f>
        <v/>
      </c>
      <c r="K1336" s="25" t="str">
        <f>IF($E1336="","",ROUND(MAX(0,$E1336-$I1336),2))</f>
        <v/>
      </c>
      <c r="L1336" s="25" t="str">
        <f>IF($E1336="","",$M1335+$F1336+$G1336)</f>
        <v/>
      </c>
      <c r="M1336" s="25" t="str">
        <f>IF($E1336="","",0)</f>
        <v/>
      </c>
      <c r="N1336" s="84" t="str">
        <f>IF($E1336="","",IF($K1336&lt;=0.005,"PAID OFF","POSTED"))</f>
        <v/>
      </c>
      <c r="O1336" s="23" t="str">
        <f t="shared" si="175"/>
        <v/>
      </c>
    </row>
    <row r="1337" spans="1:15" ht="20" customHeight="1">
      <c r="A1337" s="22" t="str">
        <f t="shared" si="172"/>
        <v/>
      </c>
      <c r="B1337" s="23" t="str">
        <f>IF($E1337="","",311)</f>
        <v/>
      </c>
      <c r="C1337" s="24" t="str">
        <f>IF($E1337="","",Inputs!$B$9+(310*Inputs!$B$21))</f>
        <v/>
      </c>
      <c r="D1337" s="23" t="str">
        <f t="shared" si="173"/>
        <v/>
      </c>
      <c r="E1337" s="25" t="str">
        <f t="shared" si="174"/>
        <v/>
      </c>
      <c r="F1337" s="25" t="str">
        <f>IF($E1337="","",ROUND(MIN(Comparison!$E$5,MAX(0,$E1337+$H1337)),2))</f>
        <v/>
      </c>
      <c r="G1337" s="25" t="str">
        <f>IF($E1337="","",ROUND(MIN(Inputs!$B$10,MAX(0,$E1337+$H1337-$F1337)),2))</f>
        <v/>
      </c>
      <c r="H1337" s="25" t="str">
        <f>IF($E1337="","",ROUND(IF(Inputs!$B$12="Daily Simple Interest",$E1337*Inputs!$B$6/Inputs!$B$17*$D1337,$E1337*Inputs!$B$6/Inputs!$B$20),2))</f>
        <v/>
      </c>
      <c r="I1337" s="25" t="str">
        <f>IF($E1337="","",0)</f>
        <v/>
      </c>
      <c r="J1337" s="25" t="str">
        <f>IF($E1337="","",IF($F1337+$G1337&gt;0,Inputs!$B$11,0))</f>
        <v/>
      </c>
      <c r="K1337" s="25" t="str">
        <f>IF($E1337="","",$E1337)</f>
        <v/>
      </c>
      <c r="L1337" s="25" t="str">
        <f>IF($E1337="","",0)</f>
        <v/>
      </c>
      <c r="M1337" s="25" t="str">
        <f>IF($E1337="","",$F1337+$G1337)</f>
        <v/>
      </c>
      <c r="N1337" s="84" t="str">
        <f>IF($E1337="","","HELD")</f>
        <v/>
      </c>
      <c r="O1337" s="23" t="str">
        <f t="shared" si="175"/>
        <v/>
      </c>
    </row>
    <row r="1338" spans="1:15" ht="20" customHeight="1">
      <c r="A1338" s="22" t="str">
        <f t="shared" si="172"/>
        <v/>
      </c>
      <c r="B1338" s="23" t="str">
        <f>IF($E1338="","",312)</f>
        <v/>
      </c>
      <c r="C1338" s="24" t="str">
        <f>IF($E1338="","",Inputs!$B$9+(311*Inputs!$B$21))</f>
        <v/>
      </c>
      <c r="D1338" s="23" t="str">
        <f t="shared" si="173"/>
        <v/>
      </c>
      <c r="E1338" s="25" t="str">
        <f t="shared" si="174"/>
        <v/>
      </c>
      <c r="F1338" s="25" t="str">
        <f>IF($E1338="","",ROUND(MIN(Comparison!$E$5,MAX(0,$E1338+$H1337+$H1338-$M1337)),2))</f>
        <v/>
      </c>
      <c r="G1338" s="25" t="str">
        <f>IF($E1338="","",ROUND(MIN(Inputs!$B$10,MAX(0,$E1338+$H1337+$H1338-$M1337-$F1338)),2))</f>
        <v/>
      </c>
      <c r="H1338" s="25" t="str">
        <f>IF($E1338="","",ROUND(IF(Inputs!$B$12="Daily Simple Interest",$E1338*Inputs!$B$6/Inputs!$B$17*$D1338,$E1338*Inputs!$B$6/Inputs!$B$20),2))</f>
        <v/>
      </c>
      <c r="I1338" s="25" t="str">
        <f>IF($E1338="","",ROUND($L1338-$H1337-$H1338,2))</f>
        <v/>
      </c>
      <c r="J1338" s="25" t="str">
        <f>IF($E1338="","",IF($F1338+$G1338&gt;0,Inputs!$B$11,0))</f>
        <v/>
      </c>
      <c r="K1338" s="25" t="str">
        <f>IF($E1338="","",ROUND(MAX(0,$E1338-$I1338),2))</f>
        <v/>
      </c>
      <c r="L1338" s="25" t="str">
        <f>IF($E1338="","",$M1337+$F1338+$G1338)</f>
        <v/>
      </c>
      <c r="M1338" s="25" t="str">
        <f>IF($E1338="","",0)</f>
        <v/>
      </c>
      <c r="N1338" s="84" t="str">
        <f>IF($E1338="","",IF($K1338&lt;=0.005,"PAID OFF","POSTED"))</f>
        <v/>
      </c>
      <c r="O1338" s="23" t="str">
        <f t="shared" si="175"/>
        <v/>
      </c>
    </row>
    <row r="1339" spans="1:15" ht="20" customHeight="1">
      <c r="A1339" s="22" t="str">
        <f t="shared" si="172"/>
        <v/>
      </c>
      <c r="B1339" s="23" t="str">
        <f>IF($E1339="","",313)</f>
        <v/>
      </c>
      <c r="C1339" s="24" t="str">
        <f>IF($E1339="","",Inputs!$B$9+(312*Inputs!$B$21))</f>
        <v/>
      </c>
      <c r="D1339" s="23" t="str">
        <f t="shared" si="173"/>
        <v/>
      </c>
      <c r="E1339" s="25" t="str">
        <f t="shared" si="174"/>
        <v/>
      </c>
      <c r="F1339" s="25" t="str">
        <f>IF($E1339="","",ROUND(MIN(Comparison!$E$5,MAX(0,$E1339+$H1339)),2))</f>
        <v/>
      </c>
      <c r="G1339" s="25" t="str">
        <f>IF($E1339="","",ROUND(MIN(Inputs!$B$10,MAX(0,$E1339+$H1339-$F1339)),2))</f>
        <v/>
      </c>
      <c r="H1339" s="25" t="str">
        <f>IF($E1339="","",ROUND(IF(Inputs!$B$12="Daily Simple Interest",$E1339*Inputs!$B$6/Inputs!$B$17*$D1339,$E1339*Inputs!$B$6/Inputs!$B$20),2))</f>
        <v/>
      </c>
      <c r="I1339" s="25" t="str">
        <f>IF($E1339="","",0)</f>
        <v/>
      </c>
      <c r="J1339" s="25" t="str">
        <f>IF($E1339="","",IF($F1339+$G1339&gt;0,Inputs!$B$11,0))</f>
        <v/>
      </c>
      <c r="K1339" s="25" t="str">
        <f>IF($E1339="","",$E1339)</f>
        <v/>
      </c>
      <c r="L1339" s="25" t="str">
        <f>IF($E1339="","",0)</f>
        <v/>
      </c>
      <c r="M1339" s="25" t="str">
        <f>IF($E1339="","",$F1339+$G1339)</f>
        <v/>
      </c>
      <c r="N1339" s="84" t="str">
        <f>IF($E1339="","","HELD")</f>
        <v/>
      </c>
      <c r="O1339" s="23" t="str">
        <f t="shared" si="175"/>
        <v/>
      </c>
    </row>
    <row r="1340" spans="1:15" ht="20" customHeight="1">
      <c r="A1340" s="22" t="str">
        <f t="shared" si="172"/>
        <v/>
      </c>
      <c r="B1340" s="23" t="str">
        <f>IF($E1340="","",314)</f>
        <v/>
      </c>
      <c r="C1340" s="24" t="str">
        <f>IF($E1340="","",Inputs!$B$9+(313*Inputs!$B$21))</f>
        <v/>
      </c>
      <c r="D1340" s="23" t="str">
        <f t="shared" si="173"/>
        <v/>
      </c>
      <c r="E1340" s="25" t="str">
        <f t="shared" si="174"/>
        <v/>
      </c>
      <c r="F1340" s="25" t="str">
        <f>IF($E1340="","",ROUND(MIN(Comparison!$E$5,MAX(0,$E1340+$H1339+$H1340-$M1339)),2))</f>
        <v/>
      </c>
      <c r="G1340" s="25" t="str">
        <f>IF($E1340="","",ROUND(MIN(Inputs!$B$10,MAX(0,$E1340+$H1339+$H1340-$M1339-$F1340)),2))</f>
        <v/>
      </c>
      <c r="H1340" s="25" t="str">
        <f>IF($E1340="","",ROUND(IF(Inputs!$B$12="Daily Simple Interest",$E1340*Inputs!$B$6/Inputs!$B$17*$D1340,$E1340*Inputs!$B$6/Inputs!$B$20),2))</f>
        <v/>
      </c>
      <c r="I1340" s="25" t="str">
        <f>IF($E1340="","",ROUND($L1340-$H1339-$H1340,2))</f>
        <v/>
      </c>
      <c r="J1340" s="25" t="str">
        <f>IF($E1340="","",IF($F1340+$G1340&gt;0,Inputs!$B$11,0))</f>
        <v/>
      </c>
      <c r="K1340" s="25" t="str">
        <f>IF($E1340="","",ROUND(MAX(0,$E1340-$I1340),2))</f>
        <v/>
      </c>
      <c r="L1340" s="25" t="str">
        <f>IF($E1340="","",$M1339+$F1340+$G1340)</f>
        <v/>
      </c>
      <c r="M1340" s="25" t="str">
        <f>IF($E1340="","",0)</f>
        <v/>
      </c>
      <c r="N1340" s="84" t="str">
        <f>IF($E1340="","",IF($K1340&lt;=0.005,"PAID OFF","POSTED"))</f>
        <v/>
      </c>
      <c r="O1340" s="23" t="str">
        <f t="shared" si="175"/>
        <v/>
      </c>
    </row>
    <row r="1341" spans="1:15" ht="20" customHeight="1">
      <c r="A1341" s="22" t="str">
        <f t="shared" si="172"/>
        <v/>
      </c>
      <c r="B1341" s="23" t="str">
        <f>IF($E1341="","",315)</f>
        <v/>
      </c>
      <c r="C1341" s="24" t="str">
        <f>IF($E1341="","",Inputs!$B$9+(314*Inputs!$B$21))</f>
        <v/>
      </c>
      <c r="D1341" s="23" t="str">
        <f t="shared" si="173"/>
        <v/>
      </c>
      <c r="E1341" s="25" t="str">
        <f t="shared" si="174"/>
        <v/>
      </c>
      <c r="F1341" s="25" t="str">
        <f>IF($E1341="","",ROUND(MIN(Comparison!$E$5,MAX(0,$E1341+$H1341)),2))</f>
        <v/>
      </c>
      <c r="G1341" s="25" t="str">
        <f>IF($E1341="","",ROUND(MIN(Inputs!$B$10,MAX(0,$E1341+$H1341-$F1341)),2))</f>
        <v/>
      </c>
      <c r="H1341" s="25" t="str">
        <f>IF($E1341="","",ROUND(IF(Inputs!$B$12="Daily Simple Interest",$E1341*Inputs!$B$6/Inputs!$B$17*$D1341,$E1341*Inputs!$B$6/Inputs!$B$20),2))</f>
        <v/>
      </c>
      <c r="I1341" s="25" t="str">
        <f>IF($E1341="","",0)</f>
        <v/>
      </c>
      <c r="J1341" s="25" t="str">
        <f>IF($E1341="","",IF($F1341+$G1341&gt;0,Inputs!$B$11,0))</f>
        <v/>
      </c>
      <c r="K1341" s="25" t="str">
        <f>IF($E1341="","",$E1341)</f>
        <v/>
      </c>
      <c r="L1341" s="25" t="str">
        <f>IF($E1341="","",0)</f>
        <v/>
      </c>
      <c r="M1341" s="25" t="str">
        <f>IF($E1341="","",$F1341+$G1341)</f>
        <v/>
      </c>
      <c r="N1341" s="84" t="str">
        <f>IF($E1341="","","HELD")</f>
        <v/>
      </c>
      <c r="O1341" s="23" t="str">
        <f t="shared" si="175"/>
        <v/>
      </c>
    </row>
    <row r="1342" spans="1:15" ht="20" customHeight="1">
      <c r="A1342" s="22" t="str">
        <f t="shared" si="172"/>
        <v/>
      </c>
      <c r="B1342" s="23" t="str">
        <f>IF($E1342="","",316)</f>
        <v/>
      </c>
      <c r="C1342" s="24" t="str">
        <f>IF($E1342="","",Inputs!$B$9+(315*Inputs!$B$21))</f>
        <v/>
      </c>
      <c r="D1342" s="23" t="str">
        <f t="shared" si="173"/>
        <v/>
      </c>
      <c r="E1342" s="25" t="str">
        <f t="shared" si="174"/>
        <v/>
      </c>
      <c r="F1342" s="25" t="str">
        <f>IF($E1342="","",ROUND(MIN(Comparison!$E$5,MAX(0,$E1342+$H1341+$H1342-$M1341)),2))</f>
        <v/>
      </c>
      <c r="G1342" s="25" t="str">
        <f>IF($E1342="","",ROUND(MIN(Inputs!$B$10,MAX(0,$E1342+$H1341+$H1342-$M1341-$F1342)),2))</f>
        <v/>
      </c>
      <c r="H1342" s="25" t="str">
        <f>IF($E1342="","",ROUND(IF(Inputs!$B$12="Daily Simple Interest",$E1342*Inputs!$B$6/Inputs!$B$17*$D1342,$E1342*Inputs!$B$6/Inputs!$B$20),2))</f>
        <v/>
      </c>
      <c r="I1342" s="25" t="str">
        <f>IF($E1342="","",ROUND($L1342-$H1341-$H1342,2))</f>
        <v/>
      </c>
      <c r="J1342" s="25" t="str">
        <f>IF($E1342="","",IF($F1342+$G1342&gt;0,Inputs!$B$11,0))</f>
        <v/>
      </c>
      <c r="K1342" s="25" t="str">
        <f>IF($E1342="","",ROUND(MAX(0,$E1342-$I1342),2))</f>
        <v/>
      </c>
      <c r="L1342" s="25" t="str">
        <f>IF($E1342="","",$M1341+$F1342+$G1342)</f>
        <v/>
      </c>
      <c r="M1342" s="25" t="str">
        <f>IF($E1342="","",0)</f>
        <v/>
      </c>
      <c r="N1342" s="84" t="str">
        <f>IF($E1342="","",IF($K1342&lt;=0.005,"PAID OFF","POSTED"))</f>
        <v/>
      </c>
      <c r="O1342" s="23" t="str">
        <f t="shared" si="175"/>
        <v/>
      </c>
    </row>
    <row r="1343" spans="1:15" ht="20" customHeight="1">
      <c r="A1343" s="22" t="str">
        <f t="shared" si="172"/>
        <v/>
      </c>
      <c r="B1343" s="23" t="str">
        <f>IF($E1343="","",317)</f>
        <v/>
      </c>
      <c r="C1343" s="24" t="str">
        <f>IF($E1343="","",Inputs!$B$9+(316*Inputs!$B$21))</f>
        <v/>
      </c>
      <c r="D1343" s="23" t="str">
        <f t="shared" si="173"/>
        <v/>
      </c>
      <c r="E1343" s="25" t="str">
        <f t="shared" si="174"/>
        <v/>
      </c>
      <c r="F1343" s="25" t="str">
        <f>IF($E1343="","",ROUND(MIN(Comparison!$E$5,MAX(0,$E1343+$H1343)),2))</f>
        <v/>
      </c>
      <c r="G1343" s="25" t="str">
        <f>IF($E1343="","",ROUND(MIN(Inputs!$B$10,MAX(0,$E1343+$H1343-$F1343)),2))</f>
        <v/>
      </c>
      <c r="H1343" s="25" t="str">
        <f>IF($E1343="","",ROUND(IF(Inputs!$B$12="Daily Simple Interest",$E1343*Inputs!$B$6/Inputs!$B$17*$D1343,$E1343*Inputs!$B$6/Inputs!$B$20),2))</f>
        <v/>
      </c>
      <c r="I1343" s="25" t="str">
        <f>IF($E1343="","",0)</f>
        <v/>
      </c>
      <c r="J1343" s="25" t="str">
        <f>IF($E1343="","",IF($F1343+$G1343&gt;0,Inputs!$B$11,0))</f>
        <v/>
      </c>
      <c r="K1343" s="25" t="str">
        <f>IF($E1343="","",$E1343)</f>
        <v/>
      </c>
      <c r="L1343" s="25" t="str">
        <f>IF($E1343="","",0)</f>
        <v/>
      </c>
      <c r="M1343" s="25" t="str">
        <f>IF($E1343="","",$F1343+$G1343)</f>
        <v/>
      </c>
      <c r="N1343" s="84" t="str">
        <f>IF($E1343="","","HELD")</f>
        <v/>
      </c>
      <c r="O1343" s="23" t="str">
        <f t="shared" si="175"/>
        <v/>
      </c>
    </row>
    <row r="1344" spans="1:15" ht="20" customHeight="1">
      <c r="A1344" s="22" t="str">
        <f t="shared" si="172"/>
        <v/>
      </c>
      <c r="B1344" s="23" t="str">
        <f>IF($E1344="","",318)</f>
        <v/>
      </c>
      <c r="C1344" s="24" t="str">
        <f>IF($E1344="","",Inputs!$B$9+(317*Inputs!$B$21))</f>
        <v/>
      </c>
      <c r="D1344" s="23" t="str">
        <f t="shared" si="173"/>
        <v/>
      </c>
      <c r="E1344" s="25" t="str">
        <f t="shared" si="174"/>
        <v/>
      </c>
      <c r="F1344" s="25" t="str">
        <f>IF($E1344="","",ROUND(MIN(Comparison!$E$5,MAX(0,$E1344+$H1343+$H1344-$M1343)),2))</f>
        <v/>
      </c>
      <c r="G1344" s="25" t="str">
        <f>IF($E1344="","",ROUND(MIN(Inputs!$B$10,MAX(0,$E1344+$H1343+$H1344-$M1343-$F1344)),2))</f>
        <v/>
      </c>
      <c r="H1344" s="25" t="str">
        <f>IF($E1344="","",ROUND(IF(Inputs!$B$12="Daily Simple Interest",$E1344*Inputs!$B$6/Inputs!$B$17*$D1344,$E1344*Inputs!$B$6/Inputs!$B$20),2))</f>
        <v/>
      </c>
      <c r="I1344" s="25" t="str">
        <f>IF($E1344="","",ROUND($L1344-$H1343-$H1344,2))</f>
        <v/>
      </c>
      <c r="J1344" s="25" t="str">
        <f>IF($E1344="","",IF($F1344+$G1344&gt;0,Inputs!$B$11,0))</f>
        <v/>
      </c>
      <c r="K1344" s="25" t="str">
        <f>IF($E1344="","",ROUND(MAX(0,$E1344-$I1344),2))</f>
        <v/>
      </c>
      <c r="L1344" s="25" t="str">
        <f>IF($E1344="","",$M1343+$F1344+$G1344)</f>
        <v/>
      </c>
      <c r="M1344" s="25" t="str">
        <f>IF($E1344="","",0)</f>
        <v/>
      </c>
      <c r="N1344" s="84" t="str">
        <f>IF($E1344="","",IF($K1344&lt;=0.005,"PAID OFF","POSTED"))</f>
        <v/>
      </c>
      <c r="O1344" s="23" t="str">
        <f t="shared" si="175"/>
        <v/>
      </c>
    </row>
    <row r="1345" spans="1:15" ht="20" customHeight="1">
      <c r="A1345" s="22" t="str">
        <f t="shared" si="172"/>
        <v/>
      </c>
      <c r="B1345" s="23" t="str">
        <f>IF($E1345="","",319)</f>
        <v/>
      </c>
      <c r="C1345" s="24" t="str">
        <f>IF($E1345="","",Inputs!$B$9+(318*Inputs!$B$21))</f>
        <v/>
      </c>
      <c r="D1345" s="23" t="str">
        <f t="shared" si="173"/>
        <v/>
      </c>
      <c r="E1345" s="25" t="str">
        <f t="shared" si="174"/>
        <v/>
      </c>
      <c r="F1345" s="25" t="str">
        <f>IF($E1345="","",ROUND(MIN(Comparison!$E$5,MAX(0,$E1345+$H1345)),2))</f>
        <v/>
      </c>
      <c r="G1345" s="25" t="str">
        <f>IF($E1345="","",ROUND(MIN(Inputs!$B$10,MAX(0,$E1345+$H1345-$F1345)),2))</f>
        <v/>
      </c>
      <c r="H1345" s="25" t="str">
        <f>IF($E1345="","",ROUND(IF(Inputs!$B$12="Daily Simple Interest",$E1345*Inputs!$B$6/Inputs!$B$17*$D1345,$E1345*Inputs!$B$6/Inputs!$B$20),2))</f>
        <v/>
      </c>
      <c r="I1345" s="25" t="str">
        <f>IF($E1345="","",0)</f>
        <v/>
      </c>
      <c r="J1345" s="25" t="str">
        <f>IF($E1345="","",IF($F1345+$G1345&gt;0,Inputs!$B$11,0))</f>
        <v/>
      </c>
      <c r="K1345" s="25" t="str">
        <f>IF($E1345="","",$E1345)</f>
        <v/>
      </c>
      <c r="L1345" s="25" t="str">
        <f>IF($E1345="","",0)</f>
        <v/>
      </c>
      <c r="M1345" s="25" t="str">
        <f>IF($E1345="","",$F1345+$G1345)</f>
        <v/>
      </c>
      <c r="N1345" s="84" t="str">
        <f>IF($E1345="","","HELD")</f>
        <v/>
      </c>
      <c r="O1345" s="23" t="str">
        <f t="shared" si="175"/>
        <v/>
      </c>
    </row>
    <row r="1346" spans="1:15" ht="20" customHeight="1">
      <c r="A1346" s="22" t="str">
        <f t="shared" si="172"/>
        <v/>
      </c>
      <c r="B1346" s="23" t="str">
        <f>IF($E1346="","",320)</f>
        <v/>
      </c>
      <c r="C1346" s="24" t="str">
        <f>IF($E1346="","",Inputs!$B$9+(319*Inputs!$B$21))</f>
        <v/>
      </c>
      <c r="D1346" s="23" t="str">
        <f t="shared" si="173"/>
        <v/>
      </c>
      <c r="E1346" s="25" t="str">
        <f t="shared" si="174"/>
        <v/>
      </c>
      <c r="F1346" s="25" t="str">
        <f>IF($E1346="","",ROUND(MIN(Comparison!$E$5,MAX(0,$E1346+$H1345+$H1346-$M1345)),2))</f>
        <v/>
      </c>
      <c r="G1346" s="25" t="str">
        <f>IF($E1346="","",ROUND(MIN(Inputs!$B$10,MAX(0,$E1346+$H1345+$H1346-$M1345-$F1346)),2))</f>
        <v/>
      </c>
      <c r="H1346" s="25" t="str">
        <f>IF($E1346="","",ROUND(IF(Inputs!$B$12="Daily Simple Interest",$E1346*Inputs!$B$6/Inputs!$B$17*$D1346,$E1346*Inputs!$B$6/Inputs!$B$20),2))</f>
        <v/>
      </c>
      <c r="I1346" s="25" t="str">
        <f>IF($E1346="","",ROUND($L1346-$H1345-$H1346,2))</f>
        <v/>
      </c>
      <c r="J1346" s="25" t="str">
        <f>IF($E1346="","",IF($F1346+$G1346&gt;0,Inputs!$B$11,0))</f>
        <v/>
      </c>
      <c r="K1346" s="25" t="str">
        <f>IF($E1346="","",ROUND(MAX(0,$E1346-$I1346),2))</f>
        <v/>
      </c>
      <c r="L1346" s="25" t="str">
        <f>IF($E1346="","",$M1345+$F1346+$G1346)</f>
        <v/>
      </c>
      <c r="M1346" s="25" t="str">
        <f>IF($E1346="","",0)</f>
        <v/>
      </c>
      <c r="N1346" s="84" t="str">
        <f>IF($E1346="","",IF($K1346&lt;=0.005,"PAID OFF","POSTED"))</f>
        <v/>
      </c>
      <c r="O1346" s="23" t="str">
        <f t="shared" si="175"/>
        <v/>
      </c>
    </row>
    <row r="1347" spans="1:15" ht="20" customHeight="1">
      <c r="A1347" s="22" t="str">
        <f t="shared" ref="A1347:A1366" si="176">IF($E1347="","","Biweekly Held by Lender")</f>
        <v/>
      </c>
      <c r="B1347" s="23" t="str">
        <f>IF($E1347="","",321)</f>
        <v/>
      </c>
      <c r="C1347" s="24" t="str">
        <f>IF($E1347="","",Inputs!$B$9+(320*Inputs!$B$21))</f>
        <v/>
      </c>
      <c r="D1347" s="23" t="str">
        <f t="shared" si="173"/>
        <v/>
      </c>
      <c r="E1347" s="25" t="str">
        <f t="shared" si="174"/>
        <v/>
      </c>
      <c r="F1347" s="25" t="str">
        <f>IF($E1347="","",ROUND(MIN(Comparison!$E$5,MAX(0,$E1347+$H1347)),2))</f>
        <v/>
      </c>
      <c r="G1347" s="25" t="str">
        <f>IF($E1347="","",ROUND(MIN(Inputs!$B$10,MAX(0,$E1347+$H1347-$F1347)),2))</f>
        <v/>
      </c>
      <c r="H1347" s="25" t="str">
        <f>IF($E1347="","",ROUND(IF(Inputs!$B$12="Daily Simple Interest",$E1347*Inputs!$B$6/Inputs!$B$17*$D1347,$E1347*Inputs!$B$6/Inputs!$B$20),2))</f>
        <v/>
      </c>
      <c r="I1347" s="25" t="str">
        <f>IF($E1347="","",0)</f>
        <v/>
      </c>
      <c r="J1347" s="25" t="str">
        <f>IF($E1347="","",IF($F1347+$G1347&gt;0,Inputs!$B$11,0))</f>
        <v/>
      </c>
      <c r="K1347" s="25" t="str">
        <f>IF($E1347="","",$E1347)</f>
        <v/>
      </c>
      <c r="L1347" s="25" t="str">
        <f>IF($E1347="","",0)</f>
        <v/>
      </c>
      <c r="M1347" s="25" t="str">
        <f>IF($E1347="","",$F1347+$G1347)</f>
        <v/>
      </c>
      <c r="N1347" s="84" t="str">
        <f>IF($E1347="","","HELD")</f>
        <v/>
      </c>
      <c r="O1347" s="23" t="str">
        <f t="shared" si="175"/>
        <v/>
      </c>
    </row>
    <row r="1348" spans="1:15" ht="20" customHeight="1">
      <c r="A1348" s="22" t="str">
        <f t="shared" si="176"/>
        <v/>
      </c>
      <c r="B1348" s="23" t="str">
        <f>IF($E1348="","",322)</f>
        <v/>
      </c>
      <c r="C1348" s="24" t="str">
        <f>IF($E1348="","",Inputs!$B$9+(321*Inputs!$B$21))</f>
        <v/>
      </c>
      <c r="D1348" s="23" t="str">
        <f t="shared" ref="D1348:D1366" si="177">IF($E1348="","",$C1348-$C1347)</f>
        <v/>
      </c>
      <c r="E1348" s="25" t="str">
        <f t="shared" ref="E1348:E1366" si="178">IF($K1347&gt;0.005,$K1347,"")</f>
        <v/>
      </c>
      <c r="F1348" s="25" t="str">
        <f>IF($E1348="","",ROUND(MIN(Comparison!$E$5,MAX(0,$E1348+$H1347+$H1348-$M1347)),2))</f>
        <v/>
      </c>
      <c r="G1348" s="25" t="str">
        <f>IF($E1348="","",ROUND(MIN(Inputs!$B$10,MAX(0,$E1348+$H1347+$H1348-$M1347-$F1348)),2))</f>
        <v/>
      </c>
      <c r="H1348" s="25" t="str">
        <f>IF($E1348="","",ROUND(IF(Inputs!$B$12="Daily Simple Interest",$E1348*Inputs!$B$6/Inputs!$B$17*$D1348,$E1348*Inputs!$B$6/Inputs!$B$20),2))</f>
        <v/>
      </c>
      <c r="I1348" s="25" t="str">
        <f>IF($E1348="","",ROUND($L1348-$H1347-$H1348,2))</f>
        <v/>
      </c>
      <c r="J1348" s="25" t="str">
        <f>IF($E1348="","",IF($F1348+$G1348&gt;0,Inputs!$B$11,0))</f>
        <v/>
      </c>
      <c r="K1348" s="25" t="str">
        <f>IF($E1348="","",ROUND(MAX(0,$E1348-$I1348),2))</f>
        <v/>
      </c>
      <c r="L1348" s="25" t="str">
        <f>IF($E1348="","",$M1347+$F1348+$G1348)</f>
        <v/>
      </c>
      <c r="M1348" s="25" t="str">
        <f>IF($E1348="","",0)</f>
        <v/>
      </c>
      <c r="N1348" s="84" t="str">
        <f>IF($E1348="","",IF($K1348&lt;=0.005,"PAID OFF","POSTED"))</f>
        <v/>
      </c>
      <c r="O1348" s="23" t="str">
        <f t="shared" si="175"/>
        <v/>
      </c>
    </row>
    <row r="1349" spans="1:15" ht="20" customHeight="1">
      <c r="A1349" s="22" t="str">
        <f t="shared" si="176"/>
        <v/>
      </c>
      <c r="B1349" s="23" t="str">
        <f>IF($E1349="","",323)</f>
        <v/>
      </c>
      <c r="C1349" s="24" t="str">
        <f>IF($E1349="","",Inputs!$B$9+(322*Inputs!$B$21))</f>
        <v/>
      </c>
      <c r="D1349" s="23" t="str">
        <f t="shared" si="177"/>
        <v/>
      </c>
      <c r="E1349" s="25" t="str">
        <f t="shared" si="178"/>
        <v/>
      </c>
      <c r="F1349" s="25" t="str">
        <f>IF($E1349="","",ROUND(MIN(Comparison!$E$5,MAX(0,$E1349+$H1349)),2))</f>
        <v/>
      </c>
      <c r="G1349" s="25" t="str">
        <f>IF($E1349="","",ROUND(MIN(Inputs!$B$10,MAX(0,$E1349+$H1349-$F1349)),2))</f>
        <v/>
      </c>
      <c r="H1349" s="25" t="str">
        <f>IF($E1349="","",ROUND(IF(Inputs!$B$12="Daily Simple Interest",$E1349*Inputs!$B$6/Inputs!$B$17*$D1349,$E1349*Inputs!$B$6/Inputs!$B$20),2))</f>
        <v/>
      </c>
      <c r="I1349" s="25" t="str">
        <f>IF($E1349="","",0)</f>
        <v/>
      </c>
      <c r="J1349" s="25" t="str">
        <f>IF($E1349="","",IF($F1349+$G1349&gt;0,Inputs!$B$11,0))</f>
        <v/>
      </c>
      <c r="K1349" s="25" t="str">
        <f>IF($E1349="","",$E1349)</f>
        <v/>
      </c>
      <c r="L1349" s="25" t="str">
        <f>IF($E1349="","",0)</f>
        <v/>
      </c>
      <c r="M1349" s="25" t="str">
        <f>IF($E1349="","",$F1349+$G1349)</f>
        <v/>
      </c>
      <c r="N1349" s="84" t="str">
        <f>IF($E1349="","","HELD")</f>
        <v/>
      </c>
      <c r="O1349" s="23" t="str">
        <f t="shared" si="175"/>
        <v/>
      </c>
    </row>
    <row r="1350" spans="1:15" ht="20" customHeight="1">
      <c r="A1350" s="22" t="str">
        <f t="shared" si="176"/>
        <v/>
      </c>
      <c r="B1350" s="23" t="str">
        <f>IF($E1350="","",324)</f>
        <v/>
      </c>
      <c r="C1350" s="24" t="str">
        <f>IF($E1350="","",Inputs!$B$9+(323*Inputs!$B$21))</f>
        <v/>
      </c>
      <c r="D1350" s="23" t="str">
        <f t="shared" si="177"/>
        <v/>
      </c>
      <c r="E1350" s="25" t="str">
        <f t="shared" si="178"/>
        <v/>
      </c>
      <c r="F1350" s="25" t="str">
        <f>IF($E1350="","",ROUND(MIN(Comparison!$E$5,MAX(0,$E1350+$H1349+$H1350-$M1349)),2))</f>
        <v/>
      </c>
      <c r="G1350" s="25" t="str">
        <f>IF($E1350="","",ROUND(MIN(Inputs!$B$10,MAX(0,$E1350+$H1349+$H1350-$M1349-$F1350)),2))</f>
        <v/>
      </c>
      <c r="H1350" s="25" t="str">
        <f>IF($E1350="","",ROUND(IF(Inputs!$B$12="Daily Simple Interest",$E1350*Inputs!$B$6/Inputs!$B$17*$D1350,$E1350*Inputs!$B$6/Inputs!$B$20),2))</f>
        <v/>
      </c>
      <c r="I1350" s="25" t="str">
        <f>IF($E1350="","",ROUND($L1350-$H1349-$H1350,2))</f>
        <v/>
      </c>
      <c r="J1350" s="25" t="str">
        <f>IF($E1350="","",IF($F1350+$G1350&gt;0,Inputs!$B$11,0))</f>
        <v/>
      </c>
      <c r="K1350" s="25" t="str">
        <f>IF($E1350="","",ROUND(MAX(0,$E1350-$I1350),2))</f>
        <v/>
      </c>
      <c r="L1350" s="25" t="str">
        <f>IF($E1350="","",$M1349+$F1350+$G1350)</f>
        <v/>
      </c>
      <c r="M1350" s="25" t="str">
        <f>IF($E1350="","",0)</f>
        <v/>
      </c>
      <c r="N1350" s="84" t="str">
        <f>IF($E1350="","",IF($K1350&lt;=0.005,"PAID OFF","POSTED"))</f>
        <v/>
      </c>
      <c r="O1350" s="23" t="str">
        <f t="shared" si="175"/>
        <v/>
      </c>
    </row>
    <row r="1351" spans="1:15" ht="20" customHeight="1">
      <c r="A1351" s="22" t="str">
        <f t="shared" si="176"/>
        <v/>
      </c>
      <c r="B1351" s="23" t="str">
        <f>IF($E1351="","",325)</f>
        <v/>
      </c>
      <c r="C1351" s="24" t="str">
        <f>IF($E1351="","",Inputs!$B$9+(324*Inputs!$B$21))</f>
        <v/>
      </c>
      <c r="D1351" s="23" t="str">
        <f t="shared" si="177"/>
        <v/>
      </c>
      <c r="E1351" s="25" t="str">
        <f t="shared" si="178"/>
        <v/>
      </c>
      <c r="F1351" s="25" t="str">
        <f>IF($E1351="","",ROUND(MIN(Comparison!$E$5,MAX(0,$E1351+$H1351)),2))</f>
        <v/>
      </c>
      <c r="G1351" s="25" t="str">
        <f>IF($E1351="","",ROUND(MIN(Inputs!$B$10,MAX(0,$E1351+$H1351-$F1351)),2))</f>
        <v/>
      </c>
      <c r="H1351" s="25" t="str">
        <f>IF($E1351="","",ROUND(IF(Inputs!$B$12="Daily Simple Interest",$E1351*Inputs!$B$6/Inputs!$B$17*$D1351,$E1351*Inputs!$B$6/Inputs!$B$20),2))</f>
        <v/>
      </c>
      <c r="I1351" s="25" t="str">
        <f>IF($E1351="","",0)</f>
        <v/>
      </c>
      <c r="J1351" s="25" t="str">
        <f>IF($E1351="","",IF($F1351+$G1351&gt;0,Inputs!$B$11,0))</f>
        <v/>
      </c>
      <c r="K1351" s="25" t="str">
        <f>IF($E1351="","",$E1351)</f>
        <v/>
      </c>
      <c r="L1351" s="25" t="str">
        <f>IF($E1351="","",0)</f>
        <v/>
      </c>
      <c r="M1351" s="25" t="str">
        <f>IF($E1351="","",$F1351+$G1351)</f>
        <v/>
      </c>
      <c r="N1351" s="84" t="str">
        <f>IF($E1351="","","HELD")</f>
        <v/>
      </c>
      <c r="O1351" s="23" t="str">
        <f t="shared" ref="O1351:O1366" si="179">IF($E1351="","",IF($F1351+$G1351&gt;0,1,0))</f>
        <v/>
      </c>
    </row>
    <row r="1352" spans="1:15" ht="20" customHeight="1">
      <c r="A1352" s="22" t="str">
        <f t="shared" si="176"/>
        <v/>
      </c>
      <c r="B1352" s="23" t="str">
        <f>IF($E1352="","",326)</f>
        <v/>
      </c>
      <c r="C1352" s="24" t="str">
        <f>IF($E1352="","",Inputs!$B$9+(325*Inputs!$B$21))</f>
        <v/>
      </c>
      <c r="D1352" s="23" t="str">
        <f t="shared" si="177"/>
        <v/>
      </c>
      <c r="E1352" s="25" t="str">
        <f t="shared" si="178"/>
        <v/>
      </c>
      <c r="F1352" s="25" t="str">
        <f>IF($E1352="","",ROUND(MIN(Comparison!$E$5,MAX(0,$E1352+$H1351+$H1352-$M1351)),2))</f>
        <v/>
      </c>
      <c r="G1352" s="25" t="str">
        <f>IF($E1352="","",ROUND(MIN(Inputs!$B$10,MAX(0,$E1352+$H1351+$H1352-$M1351-$F1352)),2))</f>
        <v/>
      </c>
      <c r="H1352" s="25" t="str">
        <f>IF($E1352="","",ROUND(IF(Inputs!$B$12="Daily Simple Interest",$E1352*Inputs!$B$6/Inputs!$B$17*$D1352,$E1352*Inputs!$B$6/Inputs!$B$20),2))</f>
        <v/>
      </c>
      <c r="I1352" s="25" t="str">
        <f>IF($E1352="","",ROUND($L1352-$H1351-$H1352,2))</f>
        <v/>
      </c>
      <c r="J1352" s="25" t="str">
        <f>IF($E1352="","",IF($F1352+$G1352&gt;0,Inputs!$B$11,0))</f>
        <v/>
      </c>
      <c r="K1352" s="25" t="str">
        <f>IF($E1352="","",ROUND(MAX(0,$E1352-$I1352),2))</f>
        <v/>
      </c>
      <c r="L1352" s="25" t="str">
        <f>IF($E1352="","",$M1351+$F1352+$G1352)</f>
        <v/>
      </c>
      <c r="M1352" s="25" t="str">
        <f>IF($E1352="","",0)</f>
        <v/>
      </c>
      <c r="N1352" s="84" t="str">
        <f>IF($E1352="","",IF($K1352&lt;=0.005,"PAID OFF","POSTED"))</f>
        <v/>
      </c>
      <c r="O1352" s="23" t="str">
        <f t="shared" si="179"/>
        <v/>
      </c>
    </row>
    <row r="1353" spans="1:15" ht="20" customHeight="1">
      <c r="A1353" s="22" t="str">
        <f t="shared" si="176"/>
        <v/>
      </c>
      <c r="B1353" s="23" t="str">
        <f>IF($E1353="","",327)</f>
        <v/>
      </c>
      <c r="C1353" s="24" t="str">
        <f>IF($E1353="","",Inputs!$B$9+(326*Inputs!$B$21))</f>
        <v/>
      </c>
      <c r="D1353" s="23" t="str">
        <f t="shared" si="177"/>
        <v/>
      </c>
      <c r="E1353" s="25" t="str">
        <f t="shared" si="178"/>
        <v/>
      </c>
      <c r="F1353" s="25" t="str">
        <f>IF($E1353="","",ROUND(MIN(Comparison!$E$5,MAX(0,$E1353+$H1353)),2))</f>
        <v/>
      </c>
      <c r="G1353" s="25" t="str">
        <f>IF($E1353="","",ROUND(MIN(Inputs!$B$10,MAX(0,$E1353+$H1353-$F1353)),2))</f>
        <v/>
      </c>
      <c r="H1353" s="25" t="str">
        <f>IF($E1353="","",ROUND(IF(Inputs!$B$12="Daily Simple Interest",$E1353*Inputs!$B$6/Inputs!$B$17*$D1353,$E1353*Inputs!$B$6/Inputs!$B$20),2))</f>
        <v/>
      </c>
      <c r="I1353" s="25" t="str">
        <f>IF($E1353="","",0)</f>
        <v/>
      </c>
      <c r="J1353" s="25" t="str">
        <f>IF($E1353="","",IF($F1353+$G1353&gt;0,Inputs!$B$11,0))</f>
        <v/>
      </c>
      <c r="K1353" s="25" t="str">
        <f>IF($E1353="","",$E1353)</f>
        <v/>
      </c>
      <c r="L1353" s="25" t="str">
        <f>IF($E1353="","",0)</f>
        <v/>
      </c>
      <c r="M1353" s="25" t="str">
        <f>IF($E1353="","",$F1353+$G1353)</f>
        <v/>
      </c>
      <c r="N1353" s="84" t="str">
        <f>IF($E1353="","","HELD")</f>
        <v/>
      </c>
      <c r="O1353" s="23" t="str">
        <f t="shared" si="179"/>
        <v/>
      </c>
    </row>
    <row r="1354" spans="1:15" ht="20" customHeight="1">
      <c r="A1354" s="22" t="str">
        <f t="shared" si="176"/>
        <v/>
      </c>
      <c r="B1354" s="23" t="str">
        <f>IF($E1354="","",328)</f>
        <v/>
      </c>
      <c r="C1354" s="24" t="str">
        <f>IF($E1354="","",Inputs!$B$9+(327*Inputs!$B$21))</f>
        <v/>
      </c>
      <c r="D1354" s="23" t="str">
        <f t="shared" si="177"/>
        <v/>
      </c>
      <c r="E1354" s="25" t="str">
        <f t="shared" si="178"/>
        <v/>
      </c>
      <c r="F1354" s="25" t="str">
        <f>IF($E1354="","",ROUND(MIN(Comparison!$E$5,MAX(0,$E1354+$H1353+$H1354-$M1353)),2))</f>
        <v/>
      </c>
      <c r="G1354" s="25" t="str">
        <f>IF($E1354="","",ROUND(MIN(Inputs!$B$10,MAX(0,$E1354+$H1353+$H1354-$M1353-$F1354)),2))</f>
        <v/>
      </c>
      <c r="H1354" s="25" t="str">
        <f>IF($E1354="","",ROUND(IF(Inputs!$B$12="Daily Simple Interest",$E1354*Inputs!$B$6/Inputs!$B$17*$D1354,$E1354*Inputs!$B$6/Inputs!$B$20),2))</f>
        <v/>
      </c>
      <c r="I1354" s="25" t="str">
        <f>IF($E1354="","",ROUND($L1354-$H1353-$H1354,2))</f>
        <v/>
      </c>
      <c r="J1354" s="25" t="str">
        <f>IF($E1354="","",IF($F1354+$G1354&gt;0,Inputs!$B$11,0))</f>
        <v/>
      </c>
      <c r="K1354" s="25" t="str">
        <f>IF($E1354="","",ROUND(MAX(0,$E1354-$I1354),2))</f>
        <v/>
      </c>
      <c r="L1354" s="25" t="str">
        <f>IF($E1354="","",$M1353+$F1354+$G1354)</f>
        <v/>
      </c>
      <c r="M1354" s="25" t="str">
        <f>IF($E1354="","",0)</f>
        <v/>
      </c>
      <c r="N1354" s="84" t="str">
        <f>IF($E1354="","",IF($K1354&lt;=0.005,"PAID OFF","POSTED"))</f>
        <v/>
      </c>
      <c r="O1354" s="23" t="str">
        <f t="shared" si="179"/>
        <v/>
      </c>
    </row>
    <row r="1355" spans="1:15" ht="20" customHeight="1">
      <c r="A1355" s="22" t="str">
        <f t="shared" si="176"/>
        <v/>
      </c>
      <c r="B1355" s="23" t="str">
        <f>IF($E1355="","",329)</f>
        <v/>
      </c>
      <c r="C1355" s="24" t="str">
        <f>IF($E1355="","",Inputs!$B$9+(328*Inputs!$B$21))</f>
        <v/>
      </c>
      <c r="D1355" s="23" t="str">
        <f t="shared" si="177"/>
        <v/>
      </c>
      <c r="E1355" s="25" t="str">
        <f t="shared" si="178"/>
        <v/>
      </c>
      <c r="F1355" s="25" t="str">
        <f>IF($E1355="","",ROUND(MIN(Comparison!$E$5,MAX(0,$E1355+$H1355)),2))</f>
        <v/>
      </c>
      <c r="G1355" s="25" t="str">
        <f>IF($E1355="","",ROUND(MIN(Inputs!$B$10,MAX(0,$E1355+$H1355-$F1355)),2))</f>
        <v/>
      </c>
      <c r="H1355" s="25" t="str">
        <f>IF($E1355="","",ROUND(IF(Inputs!$B$12="Daily Simple Interest",$E1355*Inputs!$B$6/Inputs!$B$17*$D1355,$E1355*Inputs!$B$6/Inputs!$B$20),2))</f>
        <v/>
      </c>
      <c r="I1355" s="25" t="str">
        <f>IF($E1355="","",0)</f>
        <v/>
      </c>
      <c r="J1355" s="25" t="str">
        <f>IF($E1355="","",IF($F1355+$G1355&gt;0,Inputs!$B$11,0))</f>
        <v/>
      </c>
      <c r="K1355" s="25" t="str">
        <f>IF($E1355="","",$E1355)</f>
        <v/>
      </c>
      <c r="L1355" s="25" t="str">
        <f>IF($E1355="","",0)</f>
        <v/>
      </c>
      <c r="M1355" s="25" t="str">
        <f>IF($E1355="","",$F1355+$G1355)</f>
        <v/>
      </c>
      <c r="N1355" s="84" t="str">
        <f>IF($E1355="","","HELD")</f>
        <v/>
      </c>
      <c r="O1355" s="23" t="str">
        <f t="shared" si="179"/>
        <v/>
      </c>
    </row>
    <row r="1356" spans="1:15" ht="20" customHeight="1">
      <c r="A1356" s="22" t="str">
        <f t="shared" si="176"/>
        <v/>
      </c>
      <c r="B1356" s="23" t="str">
        <f>IF($E1356="","",330)</f>
        <v/>
      </c>
      <c r="C1356" s="24" t="str">
        <f>IF($E1356="","",Inputs!$B$9+(329*Inputs!$B$21))</f>
        <v/>
      </c>
      <c r="D1356" s="23" t="str">
        <f t="shared" si="177"/>
        <v/>
      </c>
      <c r="E1356" s="25" t="str">
        <f t="shared" si="178"/>
        <v/>
      </c>
      <c r="F1356" s="25" t="str">
        <f>IF($E1356="","",ROUND(MIN(Comparison!$E$5,MAX(0,$E1356+$H1355+$H1356-$M1355)),2))</f>
        <v/>
      </c>
      <c r="G1356" s="25" t="str">
        <f>IF($E1356="","",ROUND(MIN(Inputs!$B$10,MAX(0,$E1356+$H1355+$H1356-$M1355-$F1356)),2))</f>
        <v/>
      </c>
      <c r="H1356" s="25" t="str">
        <f>IF($E1356="","",ROUND(IF(Inputs!$B$12="Daily Simple Interest",$E1356*Inputs!$B$6/Inputs!$B$17*$D1356,$E1356*Inputs!$B$6/Inputs!$B$20),2))</f>
        <v/>
      </c>
      <c r="I1356" s="25" t="str">
        <f>IF($E1356="","",ROUND($L1356-$H1355-$H1356,2))</f>
        <v/>
      </c>
      <c r="J1356" s="25" t="str">
        <f>IF($E1356="","",IF($F1356+$G1356&gt;0,Inputs!$B$11,0))</f>
        <v/>
      </c>
      <c r="K1356" s="25" t="str">
        <f>IF($E1356="","",ROUND(MAX(0,$E1356-$I1356),2))</f>
        <v/>
      </c>
      <c r="L1356" s="25" t="str">
        <f>IF($E1356="","",$M1355+$F1356+$G1356)</f>
        <v/>
      </c>
      <c r="M1356" s="25" t="str">
        <f>IF($E1356="","",0)</f>
        <v/>
      </c>
      <c r="N1356" s="84" t="str">
        <f>IF($E1356="","",IF($K1356&lt;=0.005,"PAID OFF","POSTED"))</f>
        <v/>
      </c>
      <c r="O1356" s="23" t="str">
        <f t="shared" si="179"/>
        <v/>
      </c>
    </row>
    <row r="1357" spans="1:15" ht="20" customHeight="1">
      <c r="A1357" s="22" t="str">
        <f t="shared" si="176"/>
        <v/>
      </c>
      <c r="B1357" s="23" t="str">
        <f>IF($E1357="","",331)</f>
        <v/>
      </c>
      <c r="C1357" s="24" t="str">
        <f>IF($E1357="","",Inputs!$B$9+(330*Inputs!$B$21))</f>
        <v/>
      </c>
      <c r="D1357" s="23" t="str">
        <f t="shared" si="177"/>
        <v/>
      </c>
      <c r="E1357" s="25" t="str">
        <f t="shared" si="178"/>
        <v/>
      </c>
      <c r="F1357" s="25" t="str">
        <f>IF($E1357="","",ROUND(MIN(Comparison!$E$5,MAX(0,$E1357+$H1357)),2))</f>
        <v/>
      </c>
      <c r="G1357" s="25" t="str">
        <f>IF($E1357="","",ROUND(MIN(Inputs!$B$10,MAX(0,$E1357+$H1357-$F1357)),2))</f>
        <v/>
      </c>
      <c r="H1357" s="25" t="str">
        <f>IF($E1357="","",ROUND(IF(Inputs!$B$12="Daily Simple Interest",$E1357*Inputs!$B$6/Inputs!$B$17*$D1357,$E1357*Inputs!$B$6/Inputs!$B$20),2))</f>
        <v/>
      </c>
      <c r="I1357" s="25" t="str">
        <f>IF($E1357="","",0)</f>
        <v/>
      </c>
      <c r="J1357" s="25" t="str">
        <f>IF($E1357="","",IF($F1357+$G1357&gt;0,Inputs!$B$11,0))</f>
        <v/>
      </c>
      <c r="K1357" s="25" t="str">
        <f>IF($E1357="","",$E1357)</f>
        <v/>
      </c>
      <c r="L1357" s="25" t="str">
        <f>IF($E1357="","",0)</f>
        <v/>
      </c>
      <c r="M1357" s="25" t="str">
        <f>IF($E1357="","",$F1357+$G1357)</f>
        <v/>
      </c>
      <c r="N1357" s="84" t="str">
        <f>IF($E1357="","","HELD")</f>
        <v/>
      </c>
      <c r="O1357" s="23" t="str">
        <f t="shared" si="179"/>
        <v/>
      </c>
    </row>
    <row r="1358" spans="1:15" ht="20" customHeight="1">
      <c r="A1358" s="22" t="str">
        <f t="shared" si="176"/>
        <v/>
      </c>
      <c r="B1358" s="23" t="str">
        <f>IF($E1358="","",332)</f>
        <v/>
      </c>
      <c r="C1358" s="24" t="str">
        <f>IF($E1358="","",Inputs!$B$9+(331*Inputs!$B$21))</f>
        <v/>
      </c>
      <c r="D1358" s="23" t="str">
        <f t="shared" si="177"/>
        <v/>
      </c>
      <c r="E1358" s="25" t="str">
        <f t="shared" si="178"/>
        <v/>
      </c>
      <c r="F1358" s="25" t="str">
        <f>IF($E1358="","",ROUND(MIN(Comparison!$E$5,MAX(0,$E1358+$H1357+$H1358-$M1357)),2))</f>
        <v/>
      </c>
      <c r="G1358" s="25" t="str">
        <f>IF($E1358="","",ROUND(MIN(Inputs!$B$10,MAX(0,$E1358+$H1357+$H1358-$M1357-$F1358)),2))</f>
        <v/>
      </c>
      <c r="H1358" s="25" t="str">
        <f>IF($E1358="","",ROUND(IF(Inputs!$B$12="Daily Simple Interest",$E1358*Inputs!$B$6/Inputs!$B$17*$D1358,$E1358*Inputs!$B$6/Inputs!$B$20),2))</f>
        <v/>
      </c>
      <c r="I1358" s="25" t="str">
        <f>IF($E1358="","",ROUND($L1358-$H1357-$H1358,2))</f>
        <v/>
      </c>
      <c r="J1358" s="25" t="str">
        <f>IF($E1358="","",IF($F1358+$G1358&gt;0,Inputs!$B$11,0))</f>
        <v/>
      </c>
      <c r="K1358" s="25" t="str">
        <f>IF($E1358="","",ROUND(MAX(0,$E1358-$I1358),2))</f>
        <v/>
      </c>
      <c r="L1358" s="25" t="str">
        <f>IF($E1358="","",$M1357+$F1358+$G1358)</f>
        <v/>
      </c>
      <c r="M1358" s="25" t="str">
        <f>IF($E1358="","",0)</f>
        <v/>
      </c>
      <c r="N1358" s="84" t="str">
        <f>IF($E1358="","",IF($K1358&lt;=0.005,"PAID OFF","POSTED"))</f>
        <v/>
      </c>
      <c r="O1358" s="23" t="str">
        <f t="shared" si="179"/>
        <v/>
      </c>
    </row>
    <row r="1359" spans="1:15" ht="20" customHeight="1">
      <c r="A1359" s="22" t="str">
        <f t="shared" si="176"/>
        <v/>
      </c>
      <c r="B1359" s="23" t="str">
        <f>IF($E1359="","",333)</f>
        <v/>
      </c>
      <c r="C1359" s="24" t="str">
        <f>IF($E1359="","",Inputs!$B$9+(332*Inputs!$B$21))</f>
        <v/>
      </c>
      <c r="D1359" s="23" t="str">
        <f t="shared" si="177"/>
        <v/>
      </c>
      <c r="E1359" s="25" t="str">
        <f t="shared" si="178"/>
        <v/>
      </c>
      <c r="F1359" s="25" t="str">
        <f>IF($E1359="","",ROUND(MIN(Comparison!$E$5,MAX(0,$E1359+$H1359)),2))</f>
        <v/>
      </c>
      <c r="G1359" s="25" t="str">
        <f>IF($E1359="","",ROUND(MIN(Inputs!$B$10,MAX(0,$E1359+$H1359-$F1359)),2))</f>
        <v/>
      </c>
      <c r="H1359" s="25" t="str">
        <f>IF($E1359="","",ROUND(IF(Inputs!$B$12="Daily Simple Interest",$E1359*Inputs!$B$6/Inputs!$B$17*$D1359,$E1359*Inputs!$B$6/Inputs!$B$20),2))</f>
        <v/>
      </c>
      <c r="I1359" s="25" t="str">
        <f>IF($E1359="","",0)</f>
        <v/>
      </c>
      <c r="J1359" s="25" t="str">
        <f>IF($E1359="","",IF($F1359+$G1359&gt;0,Inputs!$B$11,0))</f>
        <v/>
      </c>
      <c r="K1359" s="25" t="str">
        <f>IF($E1359="","",$E1359)</f>
        <v/>
      </c>
      <c r="L1359" s="25" t="str">
        <f>IF($E1359="","",0)</f>
        <v/>
      </c>
      <c r="M1359" s="25" t="str">
        <f>IF($E1359="","",$F1359+$G1359)</f>
        <v/>
      </c>
      <c r="N1359" s="84" t="str">
        <f>IF($E1359="","","HELD")</f>
        <v/>
      </c>
      <c r="O1359" s="23" t="str">
        <f t="shared" si="179"/>
        <v/>
      </c>
    </row>
    <row r="1360" spans="1:15" ht="20" customHeight="1">
      <c r="A1360" s="22" t="str">
        <f t="shared" si="176"/>
        <v/>
      </c>
      <c r="B1360" s="23" t="str">
        <f>IF($E1360="","",334)</f>
        <v/>
      </c>
      <c r="C1360" s="24" t="str">
        <f>IF($E1360="","",Inputs!$B$9+(333*Inputs!$B$21))</f>
        <v/>
      </c>
      <c r="D1360" s="23" t="str">
        <f t="shared" si="177"/>
        <v/>
      </c>
      <c r="E1360" s="25" t="str">
        <f t="shared" si="178"/>
        <v/>
      </c>
      <c r="F1360" s="25" t="str">
        <f>IF($E1360="","",ROUND(MIN(Comparison!$E$5,MAX(0,$E1360+$H1359+$H1360-$M1359)),2))</f>
        <v/>
      </c>
      <c r="G1360" s="25" t="str">
        <f>IF($E1360="","",ROUND(MIN(Inputs!$B$10,MAX(0,$E1360+$H1359+$H1360-$M1359-$F1360)),2))</f>
        <v/>
      </c>
      <c r="H1360" s="25" t="str">
        <f>IF($E1360="","",ROUND(IF(Inputs!$B$12="Daily Simple Interest",$E1360*Inputs!$B$6/Inputs!$B$17*$D1360,$E1360*Inputs!$B$6/Inputs!$B$20),2))</f>
        <v/>
      </c>
      <c r="I1360" s="25" t="str">
        <f>IF($E1360="","",ROUND($L1360-$H1359-$H1360,2))</f>
        <v/>
      </c>
      <c r="J1360" s="25" t="str">
        <f>IF($E1360="","",IF($F1360+$G1360&gt;0,Inputs!$B$11,0))</f>
        <v/>
      </c>
      <c r="K1360" s="25" t="str">
        <f>IF($E1360="","",ROUND(MAX(0,$E1360-$I1360),2))</f>
        <v/>
      </c>
      <c r="L1360" s="25" t="str">
        <f>IF($E1360="","",$M1359+$F1360+$G1360)</f>
        <v/>
      </c>
      <c r="M1360" s="25" t="str">
        <f>IF($E1360="","",0)</f>
        <v/>
      </c>
      <c r="N1360" s="84" t="str">
        <f>IF($E1360="","",IF($K1360&lt;=0.005,"PAID OFF","POSTED"))</f>
        <v/>
      </c>
      <c r="O1360" s="23" t="str">
        <f t="shared" si="179"/>
        <v/>
      </c>
    </row>
    <row r="1361" spans="1:15" ht="20" customHeight="1">
      <c r="A1361" s="22" t="str">
        <f t="shared" si="176"/>
        <v/>
      </c>
      <c r="B1361" s="23" t="str">
        <f>IF($E1361="","",335)</f>
        <v/>
      </c>
      <c r="C1361" s="24" t="str">
        <f>IF($E1361="","",Inputs!$B$9+(334*Inputs!$B$21))</f>
        <v/>
      </c>
      <c r="D1361" s="23" t="str">
        <f t="shared" si="177"/>
        <v/>
      </c>
      <c r="E1361" s="25" t="str">
        <f t="shared" si="178"/>
        <v/>
      </c>
      <c r="F1361" s="25" t="str">
        <f>IF($E1361="","",ROUND(MIN(Comparison!$E$5,MAX(0,$E1361+$H1361)),2))</f>
        <v/>
      </c>
      <c r="G1361" s="25" t="str">
        <f>IF($E1361="","",ROUND(MIN(Inputs!$B$10,MAX(0,$E1361+$H1361-$F1361)),2))</f>
        <v/>
      </c>
      <c r="H1361" s="25" t="str">
        <f>IF($E1361="","",ROUND(IF(Inputs!$B$12="Daily Simple Interest",$E1361*Inputs!$B$6/Inputs!$B$17*$D1361,$E1361*Inputs!$B$6/Inputs!$B$20),2))</f>
        <v/>
      </c>
      <c r="I1361" s="25" t="str">
        <f>IF($E1361="","",0)</f>
        <v/>
      </c>
      <c r="J1361" s="25" t="str">
        <f>IF($E1361="","",IF($F1361+$G1361&gt;0,Inputs!$B$11,0))</f>
        <v/>
      </c>
      <c r="K1361" s="25" t="str">
        <f>IF($E1361="","",$E1361)</f>
        <v/>
      </c>
      <c r="L1361" s="25" t="str">
        <f>IF($E1361="","",0)</f>
        <v/>
      </c>
      <c r="M1361" s="25" t="str">
        <f>IF($E1361="","",$F1361+$G1361)</f>
        <v/>
      </c>
      <c r="N1361" s="84" t="str">
        <f>IF($E1361="","","HELD")</f>
        <v/>
      </c>
      <c r="O1361" s="23" t="str">
        <f t="shared" si="179"/>
        <v/>
      </c>
    </row>
    <row r="1362" spans="1:15" ht="20" customHeight="1">
      <c r="A1362" s="22" t="str">
        <f t="shared" si="176"/>
        <v/>
      </c>
      <c r="B1362" s="23" t="str">
        <f>IF($E1362="","",336)</f>
        <v/>
      </c>
      <c r="C1362" s="24" t="str">
        <f>IF($E1362="","",Inputs!$B$9+(335*Inputs!$B$21))</f>
        <v/>
      </c>
      <c r="D1362" s="23" t="str">
        <f t="shared" si="177"/>
        <v/>
      </c>
      <c r="E1362" s="25" t="str">
        <f t="shared" si="178"/>
        <v/>
      </c>
      <c r="F1362" s="25" t="str">
        <f>IF($E1362="","",ROUND(MIN(Comparison!$E$5,MAX(0,$E1362+$H1361+$H1362-$M1361)),2))</f>
        <v/>
      </c>
      <c r="G1362" s="25" t="str">
        <f>IF($E1362="","",ROUND(MIN(Inputs!$B$10,MAX(0,$E1362+$H1361+$H1362-$M1361-$F1362)),2))</f>
        <v/>
      </c>
      <c r="H1362" s="25" t="str">
        <f>IF($E1362="","",ROUND(IF(Inputs!$B$12="Daily Simple Interest",$E1362*Inputs!$B$6/Inputs!$B$17*$D1362,$E1362*Inputs!$B$6/Inputs!$B$20),2))</f>
        <v/>
      </c>
      <c r="I1362" s="25" t="str">
        <f>IF($E1362="","",ROUND($L1362-$H1361-$H1362,2))</f>
        <v/>
      </c>
      <c r="J1362" s="25" t="str">
        <f>IF($E1362="","",IF($F1362+$G1362&gt;0,Inputs!$B$11,0))</f>
        <v/>
      </c>
      <c r="K1362" s="25" t="str">
        <f>IF($E1362="","",ROUND(MAX(0,$E1362-$I1362),2))</f>
        <v/>
      </c>
      <c r="L1362" s="25" t="str">
        <f>IF($E1362="","",$M1361+$F1362+$G1362)</f>
        <v/>
      </c>
      <c r="M1362" s="25" t="str">
        <f>IF($E1362="","",0)</f>
        <v/>
      </c>
      <c r="N1362" s="84" t="str">
        <f>IF($E1362="","",IF($K1362&lt;=0.005,"PAID OFF","POSTED"))</f>
        <v/>
      </c>
      <c r="O1362" s="23" t="str">
        <f t="shared" si="179"/>
        <v/>
      </c>
    </row>
    <row r="1363" spans="1:15" ht="20" customHeight="1">
      <c r="A1363" s="22" t="str">
        <f t="shared" si="176"/>
        <v/>
      </c>
      <c r="B1363" s="23" t="str">
        <f>IF($E1363="","",337)</f>
        <v/>
      </c>
      <c r="C1363" s="24" t="str">
        <f>IF($E1363="","",Inputs!$B$9+(336*Inputs!$B$21))</f>
        <v/>
      </c>
      <c r="D1363" s="23" t="str">
        <f t="shared" si="177"/>
        <v/>
      </c>
      <c r="E1363" s="25" t="str">
        <f t="shared" si="178"/>
        <v/>
      </c>
      <c r="F1363" s="25" t="str">
        <f>IF($E1363="","",ROUND(MIN(Comparison!$E$5,MAX(0,$E1363+$H1363)),2))</f>
        <v/>
      </c>
      <c r="G1363" s="25" t="str">
        <f>IF($E1363="","",ROUND(MIN(Inputs!$B$10,MAX(0,$E1363+$H1363-$F1363)),2))</f>
        <v/>
      </c>
      <c r="H1363" s="25" t="str">
        <f>IF($E1363="","",ROUND(IF(Inputs!$B$12="Daily Simple Interest",$E1363*Inputs!$B$6/Inputs!$B$17*$D1363,$E1363*Inputs!$B$6/Inputs!$B$20),2))</f>
        <v/>
      </c>
      <c r="I1363" s="25" t="str">
        <f>IF($E1363="","",0)</f>
        <v/>
      </c>
      <c r="J1363" s="25" t="str">
        <f>IF($E1363="","",IF($F1363+$G1363&gt;0,Inputs!$B$11,0))</f>
        <v/>
      </c>
      <c r="K1363" s="25" t="str">
        <f>IF($E1363="","",$E1363)</f>
        <v/>
      </c>
      <c r="L1363" s="25" t="str">
        <f>IF($E1363="","",0)</f>
        <v/>
      </c>
      <c r="M1363" s="25" t="str">
        <f>IF($E1363="","",$F1363+$G1363)</f>
        <v/>
      </c>
      <c r="N1363" s="84" t="str">
        <f>IF($E1363="","","HELD")</f>
        <v/>
      </c>
      <c r="O1363" s="23" t="str">
        <f t="shared" si="179"/>
        <v/>
      </c>
    </row>
    <row r="1364" spans="1:15" ht="20" customHeight="1">
      <c r="A1364" s="22" t="str">
        <f t="shared" si="176"/>
        <v/>
      </c>
      <c r="B1364" s="23" t="str">
        <f>IF($E1364="","",338)</f>
        <v/>
      </c>
      <c r="C1364" s="24" t="str">
        <f>IF($E1364="","",Inputs!$B$9+(337*Inputs!$B$21))</f>
        <v/>
      </c>
      <c r="D1364" s="23" t="str">
        <f t="shared" si="177"/>
        <v/>
      </c>
      <c r="E1364" s="25" t="str">
        <f t="shared" si="178"/>
        <v/>
      </c>
      <c r="F1364" s="25" t="str">
        <f>IF($E1364="","",ROUND(MIN(Comparison!$E$5,MAX(0,$E1364+$H1363+$H1364-$M1363)),2))</f>
        <v/>
      </c>
      <c r="G1364" s="25" t="str">
        <f>IF($E1364="","",ROUND(MIN(Inputs!$B$10,MAX(0,$E1364+$H1363+$H1364-$M1363-$F1364)),2))</f>
        <v/>
      </c>
      <c r="H1364" s="25" t="str">
        <f>IF($E1364="","",ROUND(IF(Inputs!$B$12="Daily Simple Interest",$E1364*Inputs!$B$6/Inputs!$B$17*$D1364,$E1364*Inputs!$B$6/Inputs!$B$20),2))</f>
        <v/>
      </c>
      <c r="I1364" s="25" t="str">
        <f>IF($E1364="","",ROUND($L1364-$H1363-$H1364,2))</f>
        <v/>
      </c>
      <c r="J1364" s="25" t="str">
        <f>IF($E1364="","",IF($F1364+$G1364&gt;0,Inputs!$B$11,0))</f>
        <v/>
      </c>
      <c r="K1364" s="25" t="str">
        <f>IF($E1364="","",ROUND(MAX(0,$E1364-$I1364),2))</f>
        <v/>
      </c>
      <c r="L1364" s="25" t="str">
        <f>IF($E1364="","",$M1363+$F1364+$G1364)</f>
        <v/>
      </c>
      <c r="M1364" s="25" t="str">
        <f>IF($E1364="","",0)</f>
        <v/>
      </c>
      <c r="N1364" s="84" t="str">
        <f>IF($E1364="","",IF($K1364&lt;=0.005,"PAID OFF","POSTED"))</f>
        <v/>
      </c>
      <c r="O1364" s="23" t="str">
        <f t="shared" si="179"/>
        <v/>
      </c>
    </row>
    <row r="1365" spans="1:15" ht="20" customHeight="1">
      <c r="A1365" s="22" t="str">
        <f t="shared" si="176"/>
        <v/>
      </c>
      <c r="B1365" s="23" t="str">
        <f>IF($E1365="","",339)</f>
        <v/>
      </c>
      <c r="C1365" s="24" t="str">
        <f>IF($E1365="","",Inputs!$B$9+(338*Inputs!$B$21))</f>
        <v/>
      </c>
      <c r="D1365" s="23" t="str">
        <f t="shared" si="177"/>
        <v/>
      </c>
      <c r="E1365" s="25" t="str">
        <f t="shared" si="178"/>
        <v/>
      </c>
      <c r="F1365" s="25" t="str">
        <f>IF($E1365="","",ROUND(MIN(Comparison!$E$5,MAX(0,$E1365+$H1365)),2))</f>
        <v/>
      </c>
      <c r="G1365" s="25" t="str">
        <f>IF($E1365="","",ROUND(MIN(Inputs!$B$10,MAX(0,$E1365+$H1365-$F1365)),2))</f>
        <v/>
      </c>
      <c r="H1365" s="25" t="str">
        <f>IF($E1365="","",ROUND(IF(Inputs!$B$12="Daily Simple Interest",$E1365*Inputs!$B$6/Inputs!$B$17*$D1365,$E1365*Inputs!$B$6/Inputs!$B$20),2))</f>
        <v/>
      </c>
      <c r="I1365" s="25" t="str">
        <f>IF($E1365="","",0)</f>
        <v/>
      </c>
      <c r="J1365" s="25" t="str">
        <f>IF($E1365="","",IF($F1365+$G1365&gt;0,Inputs!$B$11,0))</f>
        <v/>
      </c>
      <c r="K1365" s="25" t="str">
        <f>IF($E1365="","",$E1365)</f>
        <v/>
      </c>
      <c r="L1365" s="25" t="str">
        <f>IF($E1365="","",0)</f>
        <v/>
      </c>
      <c r="M1365" s="25" t="str">
        <f>IF($E1365="","",$F1365+$G1365)</f>
        <v/>
      </c>
      <c r="N1365" s="84" t="str">
        <f>IF($E1365="","","HELD")</f>
        <v/>
      </c>
      <c r="O1365" s="23" t="str">
        <f t="shared" si="179"/>
        <v/>
      </c>
    </row>
    <row r="1366" spans="1:15" ht="20" customHeight="1">
      <c r="A1366" s="26" t="str">
        <f t="shared" si="176"/>
        <v/>
      </c>
      <c r="B1366" s="27" t="str">
        <f>IF($E1366="","",340)</f>
        <v/>
      </c>
      <c r="C1366" s="28" t="str">
        <f>IF($E1366="","",Inputs!$B$9+(339*Inputs!$B$21))</f>
        <v/>
      </c>
      <c r="D1366" s="27" t="str">
        <f t="shared" si="177"/>
        <v/>
      </c>
      <c r="E1366" s="29" t="str">
        <f t="shared" si="178"/>
        <v/>
      </c>
      <c r="F1366" s="29" t="str">
        <f>IF($E1366="","",ROUND(MIN(Comparison!$E$5,MAX(0,$E1366+$H1365+$H1366-$M1365)),2))</f>
        <v/>
      </c>
      <c r="G1366" s="29" t="str">
        <f>IF($E1366="","",ROUND(MIN(Inputs!$B$10,MAX(0,$E1366+$H1365+$H1366-$M1365-$F1366)),2))</f>
        <v/>
      </c>
      <c r="H1366" s="29" t="str">
        <f>IF($E1366="","",ROUND(IF(Inputs!$B$12="Daily Simple Interest",$E1366*Inputs!$B$6/Inputs!$B$17*$D1366,$E1366*Inputs!$B$6/Inputs!$B$20),2))</f>
        <v/>
      </c>
      <c r="I1366" s="29" t="str">
        <f>IF($E1366="","",ROUND($L1366-$H1365-$H1366,2))</f>
        <v/>
      </c>
      <c r="J1366" s="29" t="str">
        <f>IF($E1366="","",IF($F1366+$G1366&gt;0,Inputs!$B$11,0))</f>
        <v/>
      </c>
      <c r="K1366" s="29" t="str">
        <f>IF($E1366="","",ROUND(MAX(0,$E1366-$I1366),2))</f>
        <v/>
      </c>
      <c r="L1366" s="29" t="str">
        <f>IF($E1366="","",$M1365+$F1366+$G1366)</f>
        <v/>
      </c>
      <c r="M1366" s="29" t="str">
        <f>IF($E1366="","",0)</f>
        <v/>
      </c>
      <c r="N1366" s="85" t="str">
        <f>IF($E1366="","",IF($K1366&lt;=0.005,"PAID OFF","POSTED"))</f>
        <v/>
      </c>
      <c r="O1366" s="27" t="str">
        <f t="shared" si="179"/>
        <v/>
      </c>
    </row>
  </sheetData>
  <sheetProtection algorithmName="SHA-512" hashValue="0LdJzhW+uC8rkmD+I5WWS6fPlO/0imT2w64LvkxIVE1Xl5QWnD365OqFN2xwmd32NKNvNeJFmI5vbmCBv22tNA==" saltValue="fOROfzgBWrmT2kxaIy2TSA==" spinCount="100000" sheet="1" objects="1" scenarios="1" selectLockedCells="1" autoFilter="0"/>
  <mergeCells count="3">
    <mergeCell ref="A1:O1"/>
    <mergeCell ref="A2:O2"/>
    <mergeCell ref="B4:D4"/>
  </mergeCells>
  <conditionalFormatting sqref="N7:N1366">
    <cfRule type="containsText" dxfId="2" priority="1" operator="containsText" text="PAID OFF"/>
    <cfRule type="containsText" dxfId="1" priority="2" operator="containsText" text="HELD"/>
    <cfRule type="containsText" dxfId="0" priority="3" operator="containsText" text="POSTED"/>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Planilhas</vt:lpstr>
      </vt:variant>
      <vt:variant>
        <vt:i4>4</vt:i4>
      </vt:variant>
    </vt:vector>
  </HeadingPairs>
  <TitlesOfParts>
    <vt:vector size="4" baseType="lpstr">
      <vt:lpstr>Read Me</vt:lpstr>
      <vt:lpstr>Inputs</vt:lpstr>
      <vt:lpstr>Comparison</vt:lpstr>
      <vt:lpstr>Amortization</vt:lpstr>
    </vt:vector>
  </TitlesOfParts>
  <Manager/>
  <Company>Loanyzer</Company>
  <LinksUpToDate>false</LinksUpToDate>
  <SharedDoc>false</SharedDoc>
  <HyperlinkBase>https://www.loanyzer.com</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Biweekly Car Loan Comparison</dc:title>
  <dc:subject/>
  <dc:creator>Loanyzer.com</dc:creator>
  <cp:keywords/>
  <dc:description/>
  <cp:lastModifiedBy>Jaime de Souza</cp:lastModifiedBy>
  <dcterms:modified xsi:type="dcterms:W3CDTF">2026-08-27T15:41:27Z</dcterms:modified>
  <cp:category/>
</cp:coreProperties>
</file>